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Índice" sheetId="1" r:id="rId1"/>
    <sheet name="AMTA" sheetId="2" r:id="rId2"/>
    <sheet name="AG. ADM.DIGITAL" sheetId="3" r:id="rId3"/>
    <sheet name="OBRAS MADRID" sheetId="4" r:id="rId4"/>
    <sheet name="Hosp. FUENLABRADA" sheetId="5" r:id="rId5"/>
    <sheet name="INVICAM" sheetId="6" r:id="rId6"/>
    <sheet name="MADRID ACTIVA" sheetId="7" r:id="rId7"/>
    <sheet name="NUEVO ARPEGIO" sheetId="8" r:id="rId8"/>
    <sheet name="RTVM" sheetId="9" r:id="rId9"/>
    <sheet name="MADRID CULTURA Y TURISMO" sheetId="10" r:id="rId10"/>
    <sheet name="UCR" sheetId="11" r:id="rId11"/>
    <sheet name="IECSUASV" sheetId="12" r:id="rId12"/>
    <sheet name="ALCALINGUA" sheetId="13" r:id="rId13"/>
    <sheet name="CANAL Comunic." sheetId="14" r:id="rId14"/>
    <sheet name="CYII" sheetId="15" r:id="rId15"/>
    <sheet name="CYII Gestión" sheetId="16" r:id="rId16"/>
    <sheet name="CANAL Energ. Comercial." sheetId="17" r:id="rId17"/>
    <sheet name="CANAL Energ. Distrib." sheetId="18" r:id="rId18"/>
    <sheet name="CANAL Energ. Gener." sheetId="19" r:id="rId19"/>
    <sheet name="CANAL Energía" sheetId="20" r:id="rId20"/>
    <sheet name="CANAL Extensia" sheetId="21" r:id="rId21"/>
    <sheet name="CANAL Gas Distrib." sheetId="22" r:id="rId22"/>
    <sheet name="CANAL Gest. Lanzarote" sheetId="23" r:id="rId23"/>
    <sheet name="CTC" sheetId="24" r:id="rId24"/>
    <sheet name="CRUSA" sheetId="25" r:id="rId25"/>
    <sheet name="GEDESMA" sheetId="26" r:id="rId26"/>
    <sheet name="HIDRÁULICA" sheetId="27" r:id="rId27"/>
    <sheet name="HISPANAGUA" sheetId="28" r:id="rId28"/>
    <sheet name="METRO" sheetId="29" r:id="rId29"/>
    <sheet name="PARTICIPACIONES CRM" sheetId="30" r:id="rId30"/>
    <sheet name="OCU" sheetId="31" r:id="rId31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reaD1">'OCU'!$C$3:$D$63</definedName>
    <definedName name="areaD10">#REF!</definedName>
    <definedName name="areaD11">#REF!</definedName>
    <definedName name="areaD2_1">'[5]OCU'!$C$3:$D$58</definedName>
    <definedName name="areaD2_2">'[5]OCU'!$C$59:$D$61</definedName>
    <definedName name="areaD3_1">#REF!</definedName>
    <definedName name="areaD3_2">#REF!</definedName>
    <definedName name="areaD3_3">#REF!</definedName>
    <definedName name="areaD3_4">#REF!</definedName>
    <definedName name="areaD4">#REF!</definedName>
    <definedName name="areaD4a">#REF!</definedName>
    <definedName name="areaD4b">#REF!</definedName>
    <definedName name="areaD5">#REF!</definedName>
    <definedName name="areaD50">#REF!</definedName>
    <definedName name="areaD6">#REF!</definedName>
    <definedName name="areaD7">#REF!</definedName>
    <definedName name="areaD70">#REF!</definedName>
    <definedName name="areaD8">#REF!</definedName>
    <definedName name="areaD80">#REF!</definedName>
    <definedName name="areaD9">#REF!</definedName>
    <definedName name="areaD9b">#REF!</definedName>
  </definedNames>
  <calcPr fullCalcOnLoad="1"/>
</workbook>
</file>

<file path=xl/sharedStrings.xml><?xml version="1.0" encoding="utf-8"?>
<sst xmlns="http://schemas.openxmlformats.org/spreadsheetml/2006/main" count="3761" uniqueCount="225">
  <si>
    <t>BALANCE DE SITUACIÓN</t>
  </si>
  <si>
    <t>EMPRESAS Y ENTES PÚBLICOS DE LA COMUNIDAD DE MADRID</t>
  </si>
  <si>
    <t xml:space="preserve"> CUADRO D1: Cuestionario de información contable normalizada para sociedades, fundaciones, consorcios y demás entidades públicas sujetas, según su normativa específica, al Plan General de Contabilidad de la empresa española o a alguna de sus adaptaciones sectoriales.  BALANCE  Unidad: todo el cuestionario debe completarse en miles de euros sin decimales</t>
  </si>
  <si>
    <t/>
  </si>
  <si>
    <t>(miles de euros)</t>
  </si>
  <si>
    <t xml:space="preserve">  </t>
  </si>
  <si>
    <t xml:space="preserve">  BALANCE</t>
  </si>
  <si>
    <t xml:space="preserve">  ACTIVO</t>
  </si>
  <si>
    <t>T</t>
  </si>
  <si>
    <t>T-1</t>
  </si>
  <si>
    <t xml:space="preserve">  A) ACTIVO NO CORRIENTE</t>
  </si>
  <si>
    <t>I. Inmovilizado intangible.</t>
  </si>
  <si>
    <t>200, 201, (2801), (2901)</t>
  </si>
  <si>
    <t xml:space="preserve">    .Desarrollo</t>
  </si>
  <si>
    <t>206, (2806), (2906)</t>
  </si>
  <si>
    <t xml:space="preserve">    .Aplicaciones Informáticas</t>
  </si>
  <si>
    <t xml:space="preserve">    .Anticipos</t>
  </si>
  <si>
    <t>202, 203, 204, 205, (2802), (2803), (2805), (2902), (2903), (2905)</t>
  </si>
  <si>
    <t xml:space="preserve">    .Resto del Inmovilizado Intangible</t>
  </si>
  <si>
    <t>II. Inmovilizado material</t>
  </si>
  <si>
    <t>210, (2910)</t>
  </si>
  <si>
    <t xml:space="preserve">    .Terrenos</t>
  </si>
  <si>
    <t>211, 212, 213, 214, 215, 216, 217, 218, 219, 230, 231, 232, 233, 237, (281), (2911), (2912), (2913), (2914), (2915), (2916), (2917), (2918), (2919)</t>
  </si>
  <si>
    <t xml:space="preserve">    .Resto del Inmovilizado material</t>
  </si>
  <si>
    <t>III. Inversiones inmobiliarias.</t>
  </si>
  <si>
    <t>220, (2920)</t>
  </si>
  <si>
    <t>221, (282), (2921)</t>
  </si>
  <si>
    <t xml:space="preserve">    .Construcciones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</si>
  <si>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</si>
  <si>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</si>
  <si>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</si>
  <si>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</si>
  <si>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</si>
  <si>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6Âº, 8</t>
  </si>
  <si>
    <t>VII. Deudores comerciales no corrientes</t>
  </si>
  <si>
    <t xml:space="preserve">  B) ACTIVO CORRIENTE</t>
  </si>
  <si>
    <t>I. Activos no corrientes mantenidos para la venta.</t>
  </si>
  <si>
    <t xml:space="preserve">    .Inmovilizado </t>
  </si>
  <si>
    <t>580, (5990)</t>
  </si>
  <si>
    <t xml:space="preserve">         Terrenos</t>
  </si>
  <si>
    <t xml:space="preserve">         Resto de Inmovilizado</t>
  </si>
  <si>
    <t>581, 582, (5991), (5992)</t>
  </si>
  <si>
    <t xml:space="preserve">    .Inversiones financieras</t>
  </si>
  <si>
    <t>583, 584, (5993), (5994)</t>
  </si>
  <si>
    <t xml:space="preserve">    .Existencias y otros activos</t>
  </si>
  <si>
    <t>II. Existencias.</t>
  </si>
  <si>
    <t>30, 31, 32, 33, 34, 35, 36,  (39)</t>
  </si>
  <si>
    <t xml:space="preserve">    .Existencias</t>
  </si>
  <si>
    <t>III. Deudores comerciales y otras cuentas a cobrar.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</si>
  <si>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</si>
  <si>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</si>
  <si>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</si>
  <si>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>44, 460, 470, 471, 472, 544, 5531, 5533</t>
  </si>
  <si>
    <t xml:space="preserve">    .Otros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</si>
  <si>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</si>
  <si>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</si>
  <si>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</si>
  <si>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</si>
  <si>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</si>
  <si>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</si>
  <si>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</si>
  <si>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</si>
  <si>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 xml:space="preserve">  A) PATRIMONIO NETO</t>
  </si>
  <si>
    <t>A-1) Fondos propios.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</si>
  <si>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</si>
  <si>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</si>
  <si>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</si>
  <si>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</si>
  <si>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</si>
  <si>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>(108), (109)</t>
  </si>
  <si>
    <t xml:space="preserve">    .IV. (Acciones y participaciones en patrimonio propias).</t>
  </si>
  <si>
    <t>120, (121)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</si>
  <si>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</si>
  <si>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</si>
  <si>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</si>
  <si>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>((557))</t>
  </si>
  <si>
    <t xml:space="preserve">    .VIII. (Dividendo a cuenta).</t>
  </si>
  <si>
    <t xml:space="preserve">    .IX.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</si>
  <si>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</si>
  <si>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</si>
  <si>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</si>
  <si>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</si>
  <si>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 xml:space="preserve">  B) PASIVO NO CORRIENTE.</t>
  </si>
  <si>
    <t>I. Provisiones a largo plazo</t>
  </si>
  <si>
    <t xml:space="preserve">    .Provisión por retribuciones al personal</t>
  </si>
  <si>
    <t xml:space="preserve">    .Provisión por desmantelamiento, retiro o rehabilitación del inmovilizado</t>
  </si>
  <si>
    <t>141, 142, 145, 146, 147</t>
  </si>
  <si>
    <t xml:space="preserve">    .Otras provisiones</t>
  </si>
  <si>
    <t>II. Deudas a largo plazo.</t>
  </si>
  <si>
    <t>177, 178, 179</t>
  </si>
  <si>
    <t xml:space="preserve">    .Obligaciones y otros valores negociables</t>
  </si>
  <si>
    <t>1605, 170</t>
  </si>
  <si>
    <t xml:space="preserve">    .Deudas con entidades de crédito.</t>
  </si>
  <si>
    <t>1625, 174</t>
  </si>
  <si>
    <t xml:space="preserve">    .Acreedores por arrendamiento financiero.</t>
  </si>
  <si>
    <t>1615, 1635, 171, 172, 173, 175, 176, 180, 185, 189</t>
  </si>
  <si>
    <t xml:space="preserve">    .Otras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</si>
  <si>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</si>
  <si>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</si>
  <si>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</si>
  <si>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</si>
  <si>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</si>
  <si>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</si>
  <si>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6Âº, 16</t>
  </si>
  <si>
    <t>VI. Acreedores comerciales no corrientes</t>
  </si>
  <si>
    <t>15; NECA 6Âº, 17</t>
  </si>
  <si>
    <t>VII. Deuda con características especiales a largo plazo</t>
  </si>
  <si>
    <t xml:space="preserve">  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</si>
  <si>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</si>
  <si>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</si>
  <si>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</si>
  <si>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</si>
  <si>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</si>
  <si>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</si>
  <si>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</si>
  <si>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</si>
  <si>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</si>
  <si>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 xml:space="preserve">    .Otras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</si>
  <si>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</si>
  <si>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</si>
  <si>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</si>
  <si>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</si>
  <si>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 xml:space="preserve">    .Proveedores.</t>
  </si>
  <si>
    <t>41, 438, 465, 466, 475, 476, 477</t>
  </si>
  <si>
    <t xml:space="preserve">    .Otros acreedores.</t>
  </si>
  <si>
    <t>485, 568</t>
  </si>
  <si>
    <t>VI. Periodificaciones a corto plazo</t>
  </si>
  <si>
    <t>502, 507; NECA 6Âº, 17</t>
  </si>
  <si>
    <t>VII. Deuda con características especiales a corto plazo</t>
  </si>
  <si>
    <t>TOTAL PATRIMONIO NETO Y PASIVO (A+B+C)</t>
  </si>
  <si>
    <t xml:space="preserve">(miles de euros) </t>
  </si>
  <si>
    <t>MADRID ACTIVA, S.A.</t>
  </si>
  <si>
    <t>NUEVO ARPEGIO, S.A.</t>
  </si>
  <si>
    <t>ALCALINGUA – UNIVERSIDAD DE ALCALÁ, S.R.L.</t>
  </si>
  <si>
    <t>CANAL DE COMUNICACIONES UNIDAS, S.A.</t>
  </si>
  <si>
    <t>CANAL DE ISABEL II</t>
  </si>
  <si>
    <t>CANAL DE ISABEL II GESTIÓN S.A.</t>
  </si>
  <si>
    <t>CANAL ENERGÍA DISTRIBUCIÓN, S.L.</t>
  </si>
  <si>
    <t>CANAL ENERGÍA GENERACIÓN, S.L.</t>
  </si>
  <si>
    <t>CANAL ENERGÍA, S.L.</t>
  </si>
  <si>
    <t>CANAL EXTENSIA, S.A.</t>
  </si>
  <si>
    <t>CANAL GAS DISTRIBUCIÓN, S.L.</t>
  </si>
  <si>
    <t>CANAL GESTIÓN LANZAROTE, S.A.U.</t>
  </si>
  <si>
    <t>CENTRO DE TRANSPORTES DE COSLADA, S.A.</t>
  </si>
  <si>
    <t>HIDRÁULICA SANTILLANA, S.A.</t>
  </si>
  <si>
    <t>HISPANAGUA, S.A.</t>
  </si>
  <si>
    <t>METRO DE MADRID, S.A.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</si>
  <si>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</si>
  <si>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</si>
  <si>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</si>
  <si>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580, 581, 582, 583, 584, (5990), (5991), (5992), (5993), (5994)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</si>
  <si>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</si>
  <si>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BALANCE</t>
  </si>
  <si>
    <t>ACTIVO</t>
  </si>
  <si>
    <t>A) ACTIVO NO CORRIENTE</t>
  </si>
  <si>
    <t>Desarrollo</t>
  </si>
  <si>
    <t>Aplicaciones Informáticas</t>
  </si>
  <si>
    <t>Anticipos</t>
  </si>
  <si>
    <t>Resto del Inmovilizado Intangible</t>
  </si>
  <si>
    <t>Terrenos</t>
  </si>
  <si>
    <t>Resto del Inmovilizado material</t>
  </si>
  <si>
    <t>Construcciones</t>
  </si>
  <si>
    <t>NECA 6º, 8</t>
  </si>
  <si>
    <t>B) ACTIVO CORRIENTE</t>
  </si>
  <si>
    <t xml:space="preserve">Inmovilizado </t>
  </si>
  <si>
    <t>Resto de Inmovilizado</t>
  </si>
  <si>
    <t>Inversiones financieras</t>
  </si>
  <si>
    <t>Existencias y otros activos</t>
  </si>
  <si>
    <t>Existencias</t>
  </si>
  <si>
    <t>430, 431, 432, 433, 434,435, 436,
 (437), (490), (4933), (4934), (4935)</t>
  </si>
  <si>
    <t>Clientes por ventas y prestaciones de servicios</t>
  </si>
  <si>
    <t>Accionistas (socios) por desembolsos exigidos</t>
  </si>
  <si>
    <t>Otros deudores</t>
  </si>
  <si>
    <t>A) PATRIMONIO NETO</t>
  </si>
  <si>
    <t>100, 101, 102,
 (1030), (1040)</t>
  </si>
  <si>
    <t>I.  Capital</t>
  </si>
  <si>
    <t>II.  Prima de emisión.</t>
  </si>
  <si>
    <t>112, 113, 114,
 115, 119</t>
  </si>
  <si>
    <t>III. Reservas.</t>
  </si>
  <si>
    <t>IV. (Acciones y participaciones en patrimonio propias).</t>
  </si>
  <si>
    <t>V.  Resultado de ejercicios anteriores.</t>
  </si>
  <si>
    <t>VI.  Otras aportaciones de socios.</t>
  </si>
  <si>
    <t>VII.  Resultado de ejercicio</t>
  </si>
  <si>
    <t>VIII. (Dividendo a cuenta).</t>
  </si>
  <si>
    <t>IX.  Otros instrumentos de patrimonio neto.</t>
  </si>
  <si>
    <t>B) PASIVO NO CORRIENTE.</t>
  </si>
  <si>
    <t>Provisión por retribuciones al personal</t>
  </si>
  <si>
    <t>Provisión por desmantelamiento, retiro o rehabilitación del inmovilizado</t>
  </si>
  <si>
    <t>Otras provisiones</t>
  </si>
  <si>
    <t>Obligaciones y otros valores negociables</t>
  </si>
  <si>
    <t>Deudas con entidades de crédito.</t>
  </si>
  <si>
    <t>Acreedores por arrendamiento financiero.</t>
  </si>
  <si>
    <t>Otras deudas a largo plazo.</t>
  </si>
  <si>
    <t>NECA 6º, 16</t>
  </si>
  <si>
    <t>15; NECA 6º, 17</t>
  </si>
  <si>
    <t>C) PASIVO CORRIENTE</t>
  </si>
  <si>
    <t>Otras deudas a corto plazo.</t>
  </si>
  <si>
    <t>Proveedores.</t>
  </si>
  <si>
    <t>Otros acreedores.</t>
  </si>
  <si>
    <t>502, 507; NECA 6º, 17</t>
  </si>
  <si>
    <t xml:space="preserve"> Diciembre 2016</t>
  </si>
  <si>
    <t>4T   2016</t>
  </si>
  <si>
    <t>MADRID CULTURA Y TURISMO, S.A.</t>
  </si>
  <si>
    <t>VIII. Periodificaciones a Largo plazo</t>
  </si>
  <si>
    <t>PARTICIPACIONES CRM, S.A. en liquidación</t>
  </si>
  <si>
    <t>A C T I V O</t>
  </si>
  <si>
    <t>EJERCICIO 17</t>
  </si>
  <si>
    <t>EJERCICIO 16</t>
  </si>
  <si>
    <t>3T   2017</t>
  </si>
  <si>
    <t xml:space="preserve"> Septiembre 2017</t>
  </si>
  <si>
    <t>3T</t>
  </si>
  <si>
    <t xml:space="preserve">T-1 </t>
  </si>
  <si>
    <t>OBRAS DE MADRID, GESTIÓN DE OBRAS E INFRAESTRUCTURAS, S.A. (ARPROMA)</t>
  </si>
  <si>
    <t>AGENCIA MADRILEÑA PARA LA TUTELA DE ADULTOS (AMTA)</t>
  </si>
  <si>
    <t>AGENCIA PARA LA ADMINISTRACIÓN DIGITAL DE LA COMUNIDAD DE MADRID</t>
  </si>
  <si>
    <t>EMPRESA PÚBLICA HOSPITAL UNIVERSITARIO DE FUENLABRADA</t>
  </si>
  <si>
    <t>INNOVACIÓN Y VIVIENDA DE LA COMUNIDAD DE MADRID, S.A. (INVICAM)</t>
  </si>
  <si>
    <t>RADIO TELEVISIÓN MADRID (RTVM)</t>
  </si>
  <si>
    <t>UNIDAD CENTRAL DE RADIODIAGNÓSTICO (UCR)</t>
  </si>
  <si>
    <t>AGRUPACIÓN DE INTERÉS ECONÓMICO CENTRO SUPERIOR DE INVESTIGACIÓN DEL AUTOMÓVIL Y DE LA SEGURIDAD VIAL</t>
  </si>
  <si>
    <t>CANAL DE ENERGÍA COMERCIALIZACIÓN</t>
  </si>
  <si>
    <t>CIUDAD RESIDENCIAL UNIVERSITARIA, S.A. (CRUSA)</t>
  </si>
  <si>
    <t>GESTIÓN Y DESARROLLO DEL MEDIO AMBIENTE DE MADRID, S.A. (GEDESMA)</t>
  </si>
  <si>
    <t>Trimestre III_2017</t>
  </si>
  <si>
    <t>OFICINA DE COOPERACIÓN UNIVERSITARIA, S.A.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</si>
</sst>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,"/>
    <numFmt numFmtId="166" formatCode="#,###.00,;&quot;(&quot;#,###.00,&quot;)&quot;"/>
    <numFmt numFmtId="167" formatCode="[=0]0.00;###,##0.00"/>
    <numFmt numFmtId="168" formatCode="#,##0.00,;\-#,##0.00,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6"/>
      <color indexed="48"/>
      <name val="Verdana"/>
      <family val="2"/>
    </font>
    <font>
      <b/>
      <i/>
      <sz val="10"/>
      <color indexed="48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b/>
      <sz val="14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rgb="FF3366FF"/>
      <name val="Verdana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>
        <color indexed="63"/>
      </right>
      <top>
        <color indexed="63"/>
      </top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/>
      <protection locked="0"/>
    </xf>
    <xf numFmtId="0" fontId="6" fillId="35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NumberFormat="1" applyFont="1" applyFill="1" applyBorder="1" applyAlignment="1" applyProtection="1">
      <alignment vertical="center" wrapText="1"/>
      <protection/>
    </xf>
    <xf numFmtId="4" fontId="5" fillId="37" borderId="14" xfId="0" applyNumberFormat="1" applyFont="1" applyFill="1" applyBorder="1" applyAlignment="1" applyProtection="1">
      <alignment horizontal="right" vertical="center"/>
      <protection locked="0"/>
    </xf>
    <xf numFmtId="0" fontId="6" fillId="38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" fillId="36" borderId="14" xfId="0" applyNumberFormat="1" applyFont="1" applyFill="1" applyBorder="1" applyAlignment="1" applyProtection="1">
      <alignment horizontal="left" vertical="center" wrapText="1"/>
      <protection/>
    </xf>
    <xf numFmtId="4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4" fontId="0" fillId="0" borderId="14" xfId="0" applyNumberFormat="1" applyFill="1" applyBorder="1" applyAlignment="1" applyProtection="1">
      <alignment horizontal="right" vertical="center"/>
      <protection locked="0"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4" xfId="0" applyNumberFormat="1" applyFont="1" applyFill="1" applyBorder="1" applyAlignment="1" applyProtection="1">
      <alignment horizontal="center" vertical="center" wrapText="1"/>
      <protection/>
    </xf>
    <xf numFmtId="17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5" fillId="37" borderId="14" xfId="0" applyNumberFormat="1" applyFont="1" applyFill="1" applyBorder="1" applyAlignment="1" applyProtection="1">
      <alignment horizontal="right" vertical="center"/>
      <protection locked="0"/>
    </xf>
    <xf numFmtId="166" fontId="0" fillId="0" borderId="14" xfId="0" applyNumberFormat="1" applyFont="1" applyFill="1" applyBorder="1" applyAlignment="1" applyProtection="1">
      <alignment horizontal="right" vertical="center"/>
      <protection locked="0"/>
    </xf>
    <xf numFmtId="166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0" xfId="0" applyNumberFormat="1" applyFont="1" applyAlignment="1">
      <alignment/>
    </xf>
    <xf numFmtId="14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vertical="center" wrapText="1"/>
      <protection/>
    </xf>
    <xf numFmtId="0" fontId="9" fillId="38" borderId="14" xfId="0" applyNumberFormat="1" applyFont="1" applyFill="1" applyBorder="1" applyAlignment="1" applyProtection="1">
      <alignment vertical="center" wrapText="1"/>
      <protection/>
    </xf>
    <xf numFmtId="43" fontId="0" fillId="0" borderId="0" xfId="49" applyFont="1" applyAlignment="1">
      <alignment/>
    </xf>
    <xf numFmtId="0" fontId="55" fillId="0" borderId="0" xfId="0" applyFont="1" applyAlignment="1">
      <alignment/>
    </xf>
    <xf numFmtId="0" fontId="45" fillId="0" borderId="0" xfId="46" applyAlignment="1">
      <alignment/>
    </xf>
    <xf numFmtId="0" fontId="56" fillId="36" borderId="14" xfId="0" applyNumberFormat="1" applyFont="1" applyFill="1" applyBorder="1" applyAlignment="1">
      <alignment horizontal="center" vertical="center" wrapText="1"/>
    </xf>
    <xf numFmtId="49" fontId="3" fillId="39" borderId="15" xfId="0" applyNumberFormat="1" applyFont="1" applyFill="1" applyBorder="1" applyAlignment="1">
      <alignment wrapText="1"/>
    </xf>
    <xf numFmtId="167" fontId="5" fillId="40" borderId="15" xfId="0" applyNumberFormat="1" applyFont="1" applyFill="1" applyBorder="1" applyAlignment="1" applyProtection="1">
      <alignment horizontal="right" wrapText="1"/>
      <protection locked="0"/>
    </xf>
    <xf numFmtId="49" fontId="6" fillId="38" borderId="15" xfId="0" applyNumberFormat="1" applyFont="1" applyFill="1" applyBorder="1" applyAlignment="1">
      <alignment wrapText="1"/>
    </xf>
    <xf numFmtId="167" fontId="6" fillId="40" borderId="15" xfId="0" applyNumberFormat="1" applyFont="1" applyFill="1" applyBorder="1" applyAlignment="1" applyProtection="1">
      <alignment horizontal="right" wrapText="1"/>
      <protection locked="0"/>
    </xf>
    <xf numFmtId="167" fontId="6" fillId="0" borderId="15" xfId="0" applyNumberFormat="1" applyFont="1" applyBorder="1" applyAlignment="1" applyProtection="1">
      <alignment horizontal="right" wrapText="1"/>
      <protection locked="0"/>
    </xf>
    <xf numFmtId="49" fontId="3" fillId="36" borderId="15" xfId="0" applyNumberFormat="1" applyFont="1" applyFill="1" applyBorder="1" applyAlignment="1">
      <alignment wrapText="1"/>
    </xf>
    <xf numFmtId="49" fontId="56" fillId="36" borderId="15" xfId="0" applyNumberFormat="1" applyFont="1" applyFill="1" applyBorder="1" applyAlignment="1">
      <alignment wrapText="1"/>
    </xf>
    <xf numFmtId="168" fontId="5" fillId="37" borderId="14" xfId="0" applyNumberFormat="1" applyFont="1" applyFill="1" applyBorder="1" applyAlignment="1" applyProtection="1">
      <alignment horizontal="right" vertical="center"/>
      <protection locked="0"/>
    </xf>
    <xf numFmtId="168" fontId="0" fillId="0" borderId="14" xfId="0" applyNumberFormat="1" applyFont="1" applyFill="1" applyBorder="1" applyAlignment="1" applyProtection="1">
      <alignment horizontal="right" vertical="center"/>
      <protection locked="0"/>
    </xf>
    <xf numFmtId="168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167" fontId="10" fillId="0" borderId="15" xfId="0" applyNumberFormat="1" applyFont="1" applyBorder="1" applyAlignment="1" applyProtection="1">
      <alignment horizontal="right" wrapText="1"/>
      <protection locked="0"/>
    </xf>
    <xf numFmtId="0" fontId="11" fillId="36" borderId="14" xfId="0" applyNumberFormat="1" applyFont="1" applyFill="1" applyBorder="1" applyAlignment="1" applyProtection="1">
      <alignment horizontal="center" vertical="center" wrapText="1"/>
      <protection/>
    </xf>
    <xf numFmtId="4" fontId="57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167" fontId="0" fillId="0" borderId="0" xfId="0" applyNumberFormat="1" applyFont="1" applyAlignment="1" applyProtection="1">
      <alignment horizontal="right" wrapText="1"/>
      <protection locked="0"/>
    </xf>
    <xf numFmtId="0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50" fillId="0" borderId="0" xfId="0" applyNumberFormat="1" applyFont="1" applyAlignment="1">
      <alignment/>
    </xf>
    <xf numFmtId="0" fontId="57" fillId="0" borderId="0" xfId="0" applyFont="1" applyAlignment="1">
      <alignment/>
    </xf>
    <xf numFmtId="0" fontId="33" fillId="0" borderId="0" xfId="0" applyFont="1" applyAlignment="1">
      <alignment/>
    </xf>
    <xf numFmtId="4" fontId="58" fillId="0" borderId="0" xfId="0" applyNumberFormat="1" applyFont="1" applyAlignment="1">
      <alignment horizontal="left"/>
    </xf>
    <xf numFmtId="4" fontId="57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3" fillId="37" borderId="14" xfId="0" applyNumberFormat="1" applyFont="1" applyFill="1" applyBorder="1" applyAlignment="1" applyProtection="1">
      <alignment horizontal="right" vertical="center"/>
      <protection locked="0"/>
    </xf>
    <xf numFmtId="4" fontId="60" fillId="0" borderId="14" xfId="0" applyNumberFormat="1" applyFont="1" applyFill="1" applyBorder="1" applyAlignment="1" applyProtection="1">
      <alignment horizontal="right" vertical="center"/>
      <protection locked="0"/>
    </xf>
    <xf numFmtId="0" fontId="2" fillId="36" borderId="14" xfId="0" applyNumberFormat="1" applyFont="1" applyFill="1" applyBorder="1" applyAlignment="1" applyProtection="1">
      <alignment horizontal="left" vertical="center" wrapText="1"/>
      <protection/>
    </xf>
    <xf numFmtId="4" fontId="3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56" fillId="36" borderId="16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56" fillId="37" borderId="19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0" fontId="56" fillId="37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56" fillId="0" borderId="0" xfId="0" applyNumberFormat="1" applyFont="1" applyAlignment="1">
      <alignment horizontal="right" vertical="center" wrapText="1"/>
    </xf>
    <xf numFmtId="0" fontId="2" fillId="36" borderId="16" xfId="0" applyNumberFormat="1" applyFont="1" applyFill="1" applyBorder="1" applyAlignment="1" applyProtection="1">
      <alignment horizontal="left" vertical="center" wrapText="1"/>
      <protection/>
    </xf>
    <xf numFmtId="0" fontId="2" fillId="36" borderId="17" xfId="0" applyNumberFormat="1" applyFont="1" applyFill="1" applyBorder="1" applyAlignment="1" applyProtection="1">
      <alignment horizontal="left" vertical="center" wrapText="1"/>
      <protection/>
    </xf>
    <xf numFmtId="0" fontId="2" fillId="36" borderId="18" xfId="0" applyNumberFormat="1" applyFont="1" applyFill="1" applyBorder="1" applyAlignment="1" applyProtection="1">
      <alignment horizontal="left" vertical="center" wrapText="1"/>
      <protection/>
    </xf>
    <xf numFmtId="0" fontId="3" fillId="37" borderId="16" xfId="0" applyNumberFormat="1" applyFont="1" applyFill="1" applyBorder="1" applyAlignment="1" applyProtection="1">
      <alignment vertical="center" wrapText="1"/>
      <protection/>
    </xf>
    <xf numFmtId="0" fontId="3" fillId="37" borderId="17" xfId="0" applyNumberFormat="1" applyFont="1" applyFill="1" applyBorder="1" applyAlignment="1" applyProtection="1">
      <alignment vertical="center" wrapText="1"/>
      <protection/>
    </xf>
    <xf numFmtId="0" fontId="3" fillId="37" borderId="18" xfId="0" applyNumberFormat="1" applyFont="1" applyFill="1" applyBorder="1" applyAlignment="1" applyProtection="1">
      <alignment vertical="center" wrapText="1"/>
      <protection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11" fillId="41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OBRAS%20DE%20MADRID%20(ARPROMA)_SEPTIEMB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HOSPITAL%20DE%20FUENLABRADA_SEPTIEMBRE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GEDESMA%20SA%20BS%20y%20CR%203T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OCU%20SA%20BS%20y%20CR%203T2017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enta%20perdidas-ganancias-Trim-III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4">
          <cell r="C64">
            <v>2715</v>
          </cell>
          <cell r="D64">
            <v>1624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4">
          <cell r="C64">
            <v>-101281</v>
          </cell>
          <cell r="D64">
            <v>-132110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1">
          <cell r="C61">
            <v>-1182</v>
          </cell>
          <cell r="D61">
            <v>-2490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MTA"/>
      <sheetName val="AG. ADM.DIGITAL"/>
      <sheetName val="OBRAS MADRID"/>
      <sheetName val="Hosp. FUENLABRADA"/>
      <sheetName val="INVICAM"/>
      <sheetName val="MADRID ACTIVA"/>
      <sheetName val="NUEVO ARPEGIO"/>
      <sheetName val="RTVM"/>
      <sheetName val="MADRID CULTURA Y TURISMO"/>
      <sheetName val="UCR"/>
      <sheetName val="IECSUASV"/>
      <sheetName val="ALCALINGUA"/>
      <sheetName val="CANAL Comunic."/>
      <sheetName val="CYII"/>
      <sheetName val="CYII Gestión"/>
      <sheetName val="CANAL Energ. Comercial."/>
      <sheetName val="CANAL Energ. Distrib."/>
      <sheetName val="CANAL Energ. Gener."/>
      <sheetName val="CANAL Energía"/>
      <sheetName val="CANAL Extensia"/>
      <sheetName val="CANAL Gas Distrib."/>
      <sheetName val="CANAL Gest. Lanzarote"/>
      <sheetName val="CTC"/>
      <sheetName val="CRUSA"/>
      <sheetName val="GEDESMA"/>
      <sheetName val="HIDRÁULICA"/>
      <sheetName val="HISPANAGUA"/>
      <sheetName val="METRO"/>
      <sheetName val="PARTICIPACIONES CRM"/>
      <sheetName val="OCU"/>
    </sheetNames>
    <sheetDataSet>
      <sheetData sheetId="30">
        <row r="3">
          <cell r="C3">
            <v>599</v>
          </cell>
          <cell r="D3">
            <v>932</v>
          </cell>
        </row>
        <row r="4">
          <cell r="C4">
            <v>13556</v>
          </cell>
          <cell r="D4">
            <v>19408</v>
          </cell>
        </row>
        <row r="7">
          <cell r="C7">
            <v>-2255</v>
          </cell>
          <cell r="D7">
            <v>-3973</v>
          </cell>
        </row>
        <row r="8">
          <cell r="C8">
            <v>-2239</v>
          </cell>
          <cell r="D8">
            <v>-3935</v>
          </cell>
        </row>
        <row r="9">
          <cell r="C9">
            <v>-16</v>
          </cell>
          <cell r="D9">
            <v>-38</v>
          </cell>
        </row>
        <row r="12">
          <cell r="C12">
            <v>12</v>
          </cell>
          <cell r="D12">
            <v>32</v>
          </cell>
        </row>
        <row r="13">
          <cell r="C13">
            <v>1</v>
          </cell>
          <cell r="D13">
            <v>6</v>
          </cell>
        </row>
        <row r="14">
          <cell r="C14">
            <v>11</v>
          </cell>
          <cell r="D14">
            <v>26</v>
          </cell>
        </row>
        <row r="15">
          <cell r="C15">
            <v>-7716</v>
          </cell>
          <cell r="D15">
            <v>-10170</v>
          </cell>
        </row>
        <row r="16">
          <cell r="C16">
            <v>-6023</v>
          </cell>
          <cell r="D16">
            <v>-7952</v>
          </cell>
        </row>
        <row r="17">
          <cell r="C17">
            <v>-1693</v>
          </cell>
          <cell r="D17">
            <v>-2218</v>
          </cell>
        </row>
        <row r="19">
          <cell r="C19">
            <v>-2821</v>
          </cell>
          <cell r="D19">
            <v>-3967</v>
          </cell>
        </row>
        <row r="20">
          <cell r="C20">
            <v>-2633</v>
          </cell>
          <cell r="D20">
            <v>-3848</v>
          </cell>
        </row>
        <row r="21">
          <cell r="C21">
            <v>-158</v>
          </cell>
          <cell r="D21">
            <v>-112</v>
          </cell>
        </row>
        <row r="23">
          <cell r="C23">
            <v>-30</v>
          </cell>
          <cell r="D23">
            <v>-7</v>
          </cell>
        </row>
        <row r="24">
          <cell r="C24">
            <v>-184</v>
          </cell>
          <cell r="D24">
            <v>-247</v>
          </cell>
        </row>
        <row r="25">
          <cell r="C25">
            <v>-27</v>
          </cell>
          <cell r="D25">
            <v>-42</v>
          </cell>
        </row>
        <row r="26">
          <cell r="C26">
            <v>-157</v>
          </cell>
          <cell r="D26">
            <v>-205</v>
          </cell>
        </row>
        <row r="29">
          <cell r="D29">
            <v>51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5">
          <cell r="C35">
            <v>0</v>
          </cell>
          <cell r="D35">
            <v>0</v>
          </cell>
        </row>
        <row r="40">
          <cell r="C40">
            <v>0</v>
          </cell>
          <cell r="D40">
            <v>0</v>
          </cell>
        </row>
        <row r="43">
          <cell r="C43">
            <v>592</v>
          </cell>
          <cell r="D43">
            <v>1134</v>
          </cell>
        </row>
        <row r="44">
          <cell r="C44">
            <v>38</v>
          </cell>
          <cell r="D44">
            <v>28</v>
          </cell>
        </row>
        <row r="45">
          <cell r="C45">
            <v>35</v>
          </cell>
          <cell r="D45">
            <v>25</v>
          </cell>
        </row>
        <row r="46">
          <cell r="C46">
            <v>3</v>
          </cell>
          <cell r="D46">
            <v>3</v>
          </cell>
        </row>
        <row r="47">
          <cell r="C47">
            <v>-37</v>
          </cell>
          <cell r="D47">
            <v>-55</v>
          </cell>
        </row>
        <row r="49">
          <cell r="C49">
            <v>-37</v>
          </cell>
          <cell r="D49">
            <v>-55</v>
          </cell>
        </row>
        <row r="52">
          <cell r="C52">
            <v>6</v>
          </cell>
          <cell r="D52">
            <v>9</v>
          </cell>
        </row>
        <row r="55">
          <cell r="C55">
            <v>7</v>
          </cell>
          <cell r="D55">
            <v>-18</v>
          </cell>
        </row>
        <row r="56">
          <cell r="C56">
            <v>599</v>
          </cell>
          <cell r="D56">
            <v>1116</v>
          </cell>
        </row>
        <row r="57">
          <cell r="D57">
            <v>-184</v>
          </cell>
        </row>
        <row r="58">
          <cell r="C58">
            <v>599</v>
          </cell>
          <cell r="D58">
            <v>932</v>
          </cell>
        </row>
        <row r="59">
          <cell r="C59">
            <v>0</v>
          </cell>
          <cell r="D59">
            <v>0</v>
          </cell>
        </row>
        <row r="61">
          <cell r="C61">
            <v>599</v>
          </cell>
          <cell r="D61">
            <v>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1.7109375" style="1" bestFit="1" customWidth="1"/>
  </cols>
  <sheetData>
    <row r="1" ht="15">
      <c r="A1" s="9" t="s">
        <v>0</v>
      </c>
    </row>
    <row r="2" ht="15">
      <c r="A2" s="10" t="s">
        <v>1</v>
      </c>
    </row>
    <row r="3" ht="15.75" thickBot="1">
      <c r="A3" s="11" t="s">
        <v>223</v>
      </c>
    </row>
    <row r="4" ht="15">
      <c r="A4" s="33" t="s">
        <v>213</v>
      </c>
    </row>
    <row r="5" ht="15">
      <c r="A5" s="33" t="s">
        <v>214</v>
      </c>
    </row>
    <row r="6" ht="15">
      <c r="A6" s="33" t="s">
        <v>212</v>
      </c>
    </row>
    <row r="7" ht="15">
      <c r="A7" s="33" t="s">
        <v>215</v>
      </c>
    </row>
    <row r="8" ht="15">
      <c r="A8" s="33" t="s">
        <v>216</v>
      </c>
    </row>
    <row r="9" ht="15">
      <c r="A9" s="33" t="s">
        <v>131</v>
      </c>
    </row>
    <row r="10" ht="15">
      <c r="A10" s="33" t="s">
        <v>132</v>
      </c>
    </row>
    <row r="11" ht="15">
      <c r="A11" s="33" t="s">
        <v>217</v>
      </c>
    </row>
    <row r="12" ht="15">
      <c r="A12" s="33" t="s">
        <v>202</v>
      </c>
    </row>
    <row r="13" ht="15">
      <c r="A13" s="33" t="s">
        <v>218</v>
      </c>
    </row>
    <row r="14" ht="15">
      <c r="A14" s="33" t="s">
        <v>219</v>
      </c>
    </row>
    <row r="15" ht="15">
      <c r="A15" s="33" t="s">
        <v>133</v>
      </c>
    </row>
    <row r="16" ht="15">
      <c r="A16" s="33" t="s">
        <v>134</v>
      </c>
    </row>
    <row r="17" ht="15">
      <c r="A17" s="33" t="s">
        <v>135</v>
      </c>
    </row>
    <row r="18" ht="15">
      <c r="A18" s="33" t="s">
        <v>136</v>
      </c>
    </row>
    <row r="19" ht="15">
      <c r="A19" s="33" t="s">
        <v>220</v>
      </c>
    </row>
    <row r="20" ht="15">
      <c r="A20" s="33" t="s">
        <v>137</v>
      </c>
    </row>
    <row r="21" ht="15">
      <c r="A21" s="33" t="s">
        <v>138</v>
      </c>
    </row>
    <row r="22" ht="15">
      <c r="A22" s="33" t="s">
        <v>139</v>
      </c>
    </row>
    <row r="23" ht="15">
      <c r="A23" s="33" t="s">
        <v>140</v>
      </c>
    </row>
    <row r="24" ht="15">
      <c r="A24" s="33" t="s">
        <v>141</v>
      </c>
    </row>
    <row r="25" ht="15">
      <c r="A25" s="33" t="s">
        <v>142</v>
      </c>
    </row>
    <row r="26" ht="15">
      <c r="A26" s="33" t="s">
        <v>143</v>
      </c>
    </row>
    <row r="27" ht="15">
      <c r="A27" s="33" t="s">
        <v>221</v>
      </c>
    </row>
    <row r="28" ht="15">
      <c r="A28" s="33" t="s">
        <v>222</v>
      </c>
    </row>
    <row r="29" ht="15">
      <c r="A29" s="33" t="s">
        <v>144</v>
      </c>
    </row>
    <row r="30" ht="15">
      <c r="A30" s="33" t="s">
        <v>145</v>
      </c>
    </row>
    <row r="31" ht="15">
      <c r="A31" s="33" t="s">
        <v>146</v>
      </c>
    </row>
    <row r="32" ht="15">
      <c r="A32" s="33" t="s">
        <v>204</v>
      </c>
    </row>
    <row r="33" ht="15">
      <c r="A33" s="33" t="s">
        <v>224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INVICAM!A1" display="INNOVACIÓN Y VIVIENDA DE LA COMUNIDAD DE MADRID, S.A. (INVICAM)."/>
    <hyperlink ref="A9" location="'MADRID ACTIVA'!A1" display="MADRID ACTIVA, S.A."/>
    <hyperlink ref="A10" location="'NUEVO ARPEGIO'!A1" display="NUEVO ARPEGIO, S.A."/>
    <hyperlink ref="A11" location="RTVM!A1" display="RADIO TELEVISIÓN MADRID (RTVM)."/>
    <hyperlink ref="A12" location="'MADRID CULTURA Y TURISMO'!A1" display="TURMADRID, S.A."/>
    <hyperlink ref="A13" location="UCR!A1" display="UNIDAD CENTRAL DE RADIODIAGNÓSTICO (UCR)."/>
    <hyperlink ref="A14" location="IECSUASV!A1" display="AGRUPACIÓN DE INTERÉS ECONÓMICO CENTRO SUPERIOR DE INVESTIGACIÓN DEL AUTOMÓVIL Y DE LA SEGURIDAD VIAL."/>
    <hyperlink ref="A15" location="ALCALINGUA!A1" display="ALCALINGUA – UNIVERSIDAD DE ALCALÁ, S.R.L."/>
    <hyperlink ref="A16" location="'CANAL Comunic.'!A1" display="CANAL DE COMUNICACIONES UNIDAS, S.A."/>
    <hyperlink ref="A17" location="CYII!A1" display="CANAL DE ISABEL II"/>
    <hyperlink ref="A18" location="'CYII Gestión'!A1" display="CANAL DE ISABEL II GESTIÓN S.A."/>
    <hyperlink ref="A19" location="'CANAL Energ. Comercial.'!A1" display="CANAL DE ENERGÍA COMERCIALIZACIÓN."/>
    <hyperlink ref="A20" location="'CANAL Energ. Distrib.'!A1" display="CANAL ENERGÍA DISTRIBUCIÓN, S.L."/>
    <hyperlink ref="A21" location="'CANAL Energ. Gener.'!A1" display="CANAL ENERGÍA GENERACIÓN, S.L."/>
    <hyperlink ref="A22" location="'CANAL Energía'!A1" display="CANAL ENERGÍA, S.L."/>
    <hyperlink ref="A23" location="'CANAL Extensia'!A1" display="CANAL EXTENSIA, S.A."/>
    <hyperlink ref="A24" location="'CANAL Gas Distrib.'!A1" display="CANAL GAS DISTRIBUCIÓN, S.L."/>
    <hyperlink ref="A25" location="'CANAL Gest. Lanzarote'!A1" display="CANAL GESTIÓN LANZAROTE, S.A.U."/>
    <hyperlink ref="A26" location="CTC!A1" display="CENTRO DE TRANSPORTES DE COSLADA, S.A."/>
    <hyperlink ref="A27" location="CRUSA!A1" display="CIUDAD RESIDENCIAL UNIVERSITARIA, S.A. (CRUSA)."/>
    <hyperlink ref="A28" location="GEDESMA!A1" display="GESTIÓN Y DESARROLLO DEL MEDIO AMBIENTE DE MADRID, S.A. (GEDESMA)."/>
    <hyperlink ref="A29" location="HIDRÁULICA!A1" display="HIDRÁULICA SANTILLANA, S.A."/>
    <hyperlink ref="A30" location="HISPANAGUA!A1" display="HISPANAGUA, S.A."/>
    <hyperlink ref="A31" location="METRO!A1" display="METRO DE MADRID, S.A."/>
    <hyperlink ref="A32" location="'PARTICIPACIONES CRM'!A1" display="PARTICIPACIONES CRM, S.A. en liquidación"/>
    <hyperlink ref="A33" location="OCU!A1" display="OFICINA DE COOPERACIÓN UNIVERSITARIA, S.A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0</v>
      </c>
      <c r="D7" s="36">
        <f>+D8+D13+D17+D20+D21+D22+D23</f>
        <v>0</v>
      </c>
    </row>
    <row r="8" spans="1:4" ht="15">
      <c r="A8" s="37"/>
      <c r="B8" s="37" t="s">
        <v>11</v>
      </c>
      <c r="C8" s="38">
        <f>+C9+C10+C11+C12</f>
        <v>0</v>
      </c>
      <c r="D8" s="38">
        <f>+D9+D10+D11+D12</f>
        <v>0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0</v>
      </c>
      <c r="D10" s="39">
        <v>0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0</v>
      </c>
      <c r="D12" s="39">
        <v>0</v>
      </c>
    </row>
    <row r="13" spans="1:4" ht="15">
      <c r="A13" s="37"/>
      <c r="B13" s="37" t="s">
        <v>19</v>
      </c>
      <c r="C13" s="38">
        <f>+C14+C15+C16</f>
        <v>0</v>
      </c>
      <c r="D13" s="38">
        <f>+D14+D15+D16</f>
        <v>0</v>
      </c>
    </row>
    <row r="14" spans="1:4" ht="15">
      <c r="A14" s="37" t="s">
        <v>20</v>
      </c>
      <c r="B14" s="37" t="s">
        <v>159</v>
      </c>
      <c r="C14" s="39">
        <v>0</v>
      </c>
      <c r="D14" s="39">
        <v>0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0</v>
      </c>
      <c r="D16" s="39">
        <v>0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0</v>
      </c>
      <c r="D21" s="39">
        <v>0</v>
      </c>
    </row>
    <row r="22" spans="1:4" ht="15">
      <c r="A22" s="37"/>
      <c r="B22" s="37" t="s">
        <v>32</v>
      </c>
      <c r="C22" s="39">
        <v>0</v>
      </c>
      <c r="D22" s="39">
        <v>0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2691</v>
      </c>
      <c r="D24" s="36">
        <f>+D25+D31+D34+D38+D39+D40+D41</f>
        <v>2258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0</v>
      </c>
      <c r="D31" s="38">
        <f>+D32+D33</f>
        <v>0</v>
      </c>
    </row>
    <row r="32" spans="1:4" ht="15">
      <c r="A32" s="37" t="s">
        <v>46</v>
      </c>
      <c r="B32" s="37" t="s">
        <v>168</v>
      </c>
      <c r="C32" s="39">
        <v>0</v>
      </c>
      <c r="D32" s="39">
        <v>0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15</v>
      </c>
      <c r="D34" s="38">
        <f>+D35+D36+D37</f>
        <v>2</v>
      </c>
    </row>
    <row r="35" spans="1:4" ht="24">
      <c r="A35" s="37" t="s">
        <v>169</v>
      </c>
      <c r="B35" s="37" t="s">
        <v>170</v>
      </c>
      <c r="C35" s="39"/>
      <c r="D35" s="39">
        <v>0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15</v>
      </c>
      <c r="D37" s="39">
        <v>2</v>
      </c>
    </row>
    <row r="38" spans="1:4" ht="24">
      <c r="A38" s="37" t="s">
        <v>54</v>
      </c>
      <c r="B38" s="37" t="s">
        <v>55</v>
      </c>
      <c r="C38" s="39">
        <v>0</v>
      </c>
      <c r="D38" s="39">
        <v>0</v>
      </c>
    </row>
    <row r="39" spans="1:4" ht="24">
      <c r="A39" s="37" t="s">
        <v>56</v>
      </c>
      <c r="B39" s="37" t="s">
        <v>57</v>
      </c>
      <c r="C39" s="39">
        <v>0</v>
      </c>
      <c r="D39" s="39">
        <v>0</v>
      </c>
    </row>
    <row r="40" spans="1:4" ht="15">
      <c r="A40" s="37" t="s">
        <v>58</v>
      </c>
      <c r="B40" s="37" t="s">
        <v>59</v>
      </c>
      <c r="C40" s="39">
        <v>0</v>
      </c>
      <c r="D40" s="39">
        <v>0</v>
      </c>
    </row>
    <row r="41" spans="1:4" ht="15">
      <c r="A41" s="37"/>
      <c r="B41" s="37" t="s">
        <v>60</v>
      </c>
      <c r="C41" s="39">
        <v>2676</v>
      </c>
      <c r="D41" s="39">
        <v>2256</v>
      </c>
    </row>
    <row r="42" spans="1:4" ht="15">
      <c r="A42" s="40"/>
      <c r="B42" s="41" t="s">
        <v>61</v>
      </c>
      <c r="C42" s="36">
        <f>+C7+C24</f>
        <v>2691</v>
      </c>
      <c r="D42" s="36">
        <f>+D7+D24</f>
        <v>2258</v>
      </c>
    </row>
    <row r="43" spans="1:4" ht="15">
      <c r="A43" s="35"/>
      <c r="B43" s="35" t="s">
        <v>173</v>
      </c>
      <c r="C43" s="36">
        <f>+C44+C54+C55</f>
        <v>1270</v>
      </c>
      <c r="D43" s="36">
        <f>+D44+D54+D55</f>
        <v>1270</v>
      </c>
    </row>
    <row r="44" spans="1:4" ht="15">
      <c r="A44" s="37"/>
      <c r="B44" s="37" t="s">
        <v>63</v>
      </c>
      <c r="C44" s="38">
        <f>+C45+C46+C47+C48+C49+C50+C51+C52+C53</f>
        <v>1270</v>
      </c>
      <c r="D44" s="38">
        <f>+D45+D46+D47+D48+D49+D50+D51+D52+D53</f>
        <v>1270</v>
      </c>
    </row>
    <row r="45" spans="1:4" ht="24">
      <c r="A45" s="37" t="s">
        <v>174</v>
      </c>
      <c r="B45" s="37" t="s">
        <v>175</v>
      </c>
      <c r="C45" s="39">
        <v>1788</v>
      </c>
      <c r="D45" s="39">
        <v>1788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v>-379</v>
      </c>
      <c r="D47" s="39">
        <v>-379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f>-70-69</f>
        <v>-139</v>
      </c>
      <c r="D49" s="39">
        <v>-70</v>
      </c>
    </row>
    <row r="50" spans="1:4" ht="15">
      <c r="A50" s="37"/>
      <c r="B50" s="37" t="s">
        <v>181</v>
      </c>
      <c r="C50" s="39">
        <v>0</v>
      </c>
      <c r="D50" s="39">
        <v>0</v>
      </c>
    </row>
    <row r="51" spans="1:4" ht="15">
      <c r="A51" s="37"/>
      <c r="B51" s="37" t="s">
        <v>182</v>
      </c>
      <c r="C51" s="39">
        <v>0</v>
      </c>
      <c r="D51" s="39">
        <v>-69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0</v>
      </c>
      <c r="D55" s="39">
        <v>0</v>
      </c>
    </row>
    <row r="56" spans="1:4" ht="15">
      <c r="A56" s="35"/>
      <c r="B56" s="35" t="s">
        <v>185</v>
      </c>
      <c r="C56" s="36">
        <f>+C57+C61+C66+C67+C68+C69+C70</f>
        <v>0</v>
      </c>
      <c r="D56" s="36">
        <f>+D57+D61+D66+D67+D68+D69+D70</f>
        <v>0</v>
      </c>
    </row>
    <row r="57" spans="1:4" ht="15">
      <c r="A57" s="37"/>
      <c r="B57" s="37" t="s">
        <v>83</v>
      </c>
      <c r="C57" s="38">
        <f>+C58+C59+C60</f>
        <v>0</v>
      </c>
      <c r="D57" s="38">
        <f>+D58+D59+D60</f>
        <v>0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0</v>
      </c>
      <c r="D60" s="39">
        <v>0</v>
      </c>
    </row>
    <row r="61" spans="1:4" ht="15">
      <c r="A61" s="37"/>
      <c r="B61" s="37" t="s">
        <v>88</v>
      </c>
      <c r="C61" s="38">
        <f>+C62+C63+C64+C65</f>
        <v>0</v>
      </c>
      <c r="D61" s="38">
        <f>+D62+D63+D64+D65</f>
        <v>0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0</v>
      </c>
      <c r="D65" s="39">
        <v>0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1421</v>
      </c>
      <c r="D71" s="36">
        <f>+D72+D73+D77+D82+D83+D86+D87</f>
        <v>988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1284</v>
      </c>
      <c r="D73" s="38">
        <f>+D74+D75+D76</f>
        <v>367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1284</v>
      </c>
      <c r="D76" s="39">
        <v>367</v>
      </c>
    </row>
    <row r="77" spans="1:4" ht="15">
      <c r="A77" s="37"/>
      <c r="B77" s="37" t="s">
        <v>112</v>
      </c>
      <c r="C77" s="38">
        <f>+C78+C79+C80+C81</f>
        <v>-75</v>
      </c>
      <c r="D77" s="38">
        <f>+D78+D79+D80+D81</f>
        <v>3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-75</v>
      </c>
      <c r="D81" s="39">
        <v>3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212</v>
      </c>
      <c r="D83" s="38">
        <f>+D84+D85</f>
        <v>618</v>
      </c>
    </row>
    <row r="84" spans="1:4" ht="15">
      <c r="A84" s="37" t="s">
        <v>121</v>
      </c>
      <c r="B84" s="37" t="s">
        <v>197</v>
      </c>
      <c r="C84" s="39">
        <v>0</v>
      </c>
      <c r="D84" s="39">
        <v>0</v>
      </c>
    </row>
    <row r="85" spans="1:4" ht="15">
      <c r="A85" s="37" t="s">
        <v>123</v>
      </c>
      <c r="B85" s="37" t="s">
        <v>198</v>
      </c>
      <c r="C85" s="39">
        <v>212</v>
      </c>
      <c r="D85" s="39">
        <v>618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2691</v>
      </c>
      <c r="D88" s="36">
        <f>+D43+D56+D71</f>
        <v>2258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hyperlinks>
    <hyperlink ref="A10" location="'MADRID CULTURA Y TURISMO'!A1" display="206, (2806), (2906)"/>
    <hyperlink ref="A1:D1" location="'MADRID CULTURA Y TURISMO'!A1" display=" CUADRO D1: Cuestionario de información contable normalizada para sociedades, fundaciones, consorcios y demás entidades públicas sujetas, según su normativa específica, al Plan General de Contabilidad de la empresa española o a alguna de sus adaptaciones "/>
  </hyperlink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1196</v>
      </c>
      <c r="D7" s="36">
        <f>+D8+D13+D17+D20+D21+D22+D23</f>
        <v>1219</v>
      </c>
    </row>
    <row r="8" spans="1:4" ht="15">
      <c r="A8" s="37"/>
      <c r="B8" s="37" t="s">
        <v>11</v>
      </c>
      <c r="C8" s="38">
        <f>+C9+C10+C11+C12</f>
        <v>177</v>
      </c>
      <c r="D8" s="38">
        <f>+D9+D10+D11+D12</f>
        <v>208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0</v>
      </c>
      <c r="D10" s="39">
        <v>0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177</v>
      </c>
      <c r="D12" s="39">
        <v>208</v>
      </c>
    </row>
    <row r="13" spans="1:4" ht="15">
      <c r="A13" s="37"/>
      <c r="B13" s="37" t="s">
        <v>19</v>
      </c>
      <c r="C13" s="38">
        <f>+C14+C15+C16</f>
        <v>1019</v>
      </c>
      <c r="D13" s="38">
        <f>+D14+D15+D16</f>
        <v>1011</v>
      </c>
    </row>
    <row r="14" spans="1:4" ht="15">
      <c r="A14" s="37" t="s">
        <v>20</v>
      </c>
      <c r="B14" s="37" t="s">
        <v>159</v>
      </c>
      <c r="C14" s="39">
        <v>0</v>
      </c>
      <c r="D14" s="39">
        <v>0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1019</v>
      </c>
      <c r="D16" s="39">
        <v>1011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0</v>
      </c>
      <c r="D21" s="39">
        <v>0</v>
      </c>
    </row>
    <row r="22" spans="1:4" ht="15">
      <c r="A22" s="37"/>
      <c r="B22" s="37" t="s">
        <v>32</v>
      </c>
      <c r="C22" s="39">
        <v>0</v>
      </c>
      <c r="D22" s="39">
        <v>0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6461</v>
      </c>
      <c r="D24" s="36">
        <f>+D25+D31+D34+D38+D39+D40+D41</f>
        <v>4393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233</v>
      </c>
      <c r="D31" s="38">
        <f>+D32+D33</f>
        <v>233</v>
      </c>
    </row>
    <row r="32" spans="1:4" ht="15">
      <c r="A32" s="37" t="s">
        <v>46</v>
      </c>
      <c r="B32" s="37" t="s">
        <v>168</v>
      </c>
      <c r="C32" s="39">
        <v>233</v>
      </c>
      <c r="D32" s="39">
        <v>233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2124</v>
      </c>
      <c r="D34" s="38">
        <f>+D35+D36+D37</f>
        <v>2012</v>
      </c>
    </row>
    <row r="35" spans="1:4" ht="24">
      <c r="A35" s="37" t="s">
        <v>169</v>
      </c>
      <c r="B35" s="37" t="s">
        <v>170</v>
      </c>
      <c r="C35" s="39">
        <v>1920</v>
      </c>
      <c r="D35" s="39">
        <v>1925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204</v>
      </c>
      <c r="D37" s="39">
        <v>87</v>
      </c>
    </row>
    <row r="38" spans="1:4" ht="24">
      <c r="A38" s="37" t="s">
        <v>54</v>
      </c>
      <c r="B38" s="37" t="s">
        <v>55</v>
      </c>
      <c r="C38" s="39">
        <v>0</v>
      </c>
      <c r="D38" s="39">
        <v>0</v>
      </c>
    </row>
    <row r="39" spans="1:4" ht="24">
      <c r="A39" s="37" t="s">
        <v>56</v>
      </c>
      <c r="B39" s="37" t="s">
        <v>57</v>
      </c>
      <c r="C39" s="39">
        <v>0</v>
      </c>
      <c r="D39" s="39">
        <v>0</v>
      </c>
    </row>
    <row r="40" spans="1:4" ht="15">
      <c r="A40" s="37" t="s">
        <v>58</v>
      </c>
      <c r="B40" s="37" t="s">
        <v>59</v>
      </c>
      <c r="C40" s="39">
        <v>0</v>
      </c>
      <c r="D40" s="39">
        <v>15</v>
      </c>
    </row>
    <row r="41" spans="1:4" ht="15">
      <c r="A41" s="37"/>
      <c r="B41" s="37" t="s">
        <v>60</v>
      </c>
      <c r="C41" s="39">
        <v>4104</v>
      </c>
      <c r="D41" s="39">
        <v>2133</v>
      </c>
    </row>
    <row r="42" spans="1:4" ht="15">
      <c r="A42" s="40"/>
      <c r="B42" s="41" t="s">
        <v>61</v>
      </c>
      <c r="C42" s="36">
        <f>+C7+C24</f>
        <v>7657</v>
      </c>
      <c r="D42" s="36">
        <f>+D7+D24</f>
        <v>5612</v>
      </c>
    </row>
    <row r="43" spans="1:4" ht="15">
      <c r="A43" s="35"/>
      <c r="B43" s="35" t="s">
        <v>173</v>
      </c>
      <c r="C43" s="36">
        <f>+C44+C54+C55</f>
        <v>5400</v>
      </c>
      <c r="D43" s="36">
        <f>+D44+D54+D55</f>
        <v>3594</v>
      </c>
    </row>
    <row r="44" spans="1:4" ht="15">
      <c r="A44" s="37"/>
      <c r="B44" s="37" t="s">
        <v>63</v>
      </c>
      <c r="C44" s="38">
        <f>+C45+C46+C47+C48+C49+C50+C51+C52+C53</f>
        <v>5400</v>
      </c>
      <c r="D44" s="38">
        <f>+D45+D46+D47+D48+D49+D50+D51+D52+D53</f>
        <v>3594</v>
      </c>
    </row>
    <row r="45" spans="1:4" ht="24">
      <c r="A45" s="37" t="s">
        <v>174</v>
      </c>
      <c r="B45" s="37" t="s">
        <v>175</v>
      </c>
      <c r="C45" s="39">
        <v>2000</v>
      </c>
      <c r="D45" s="39">
        <v>2000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v>428</v>
      </c>
      <c r="D47" s="39">
        <v>428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v>701</v>
      </c>
      <c r="D49" s="39">
        <v>0</v>
      </c>
    </row>
    <row r="50" spans="1:4" ht="15">
      <c r="A50" s="37"/>
      <c r="B50" s="37" t="s">
        <v>181</v>
      </c>
      <c r="C50" s="39">
        <v>465</v>
      </c>
      <c r="D50" s="39">
        <v>465</v>
      </c>
    </row>
    <row r="51" spans="1:4" ht="15">
      <c r="A51" s="37"/>
      <c r="B51" s="37" t="s">
        <v>182</v>
      </c>
      <c r="C51" s="39">
        <v>1806</v>
      </c>
      <c r="D51" s="39">
        <v>701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0</v>
      </c>
      <c r="D55" s="39">
        <v>0</v>
      </c>
    </row>
    <row r="56" spans="1:4" ht="15">
      <c r="A56" s="35"/>
      <c r="B56" s="35" t="s">
        <v>185</v>
      </c>
      <c r="C56" s="36">
        <f>+C57+C61+C66+C67+C68+C69+C70</f>
        <v>0</v>
      </c>
      <c r="D56" s="36">
        <f>+D57+D61+D66+D67+D68+D69+D70</f>
        <v>0</v>
      </c>
    </row>
    <row r="57" spans="1:4" ht="15">
      <c r="A57" s="37"/>
      <c r="B57" s="37" t="s">
        <v>83</v>
      </c>
      <c r="C57" s="38">
        <f>+C58+C59+C60</f>
        <v>0</v>
      </c>
      <c r="D57" s="38">
        <f>+D58+D59+D60</f>
        <v>0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0</v>
      </c>
      <c r="D60" s="39">
        <v>0</v>
      </c>
    </row>
    <row r="61" spans="1:4" ht="15">
      <c r="A61" s="37"/>
      <c r="B61" s="37" t="s">
        <v>88</v>
      </c>
      <c r="C61" s="38">
        <f>+C62+C63+C64+C65</f>
        <v>0</v>
      </c>
      <c r="D61" s="38">
        <f>+D62+D63+D64+D65</f>
        <v>0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0</v>
      </c>
      <c r="D65" s="39">
        <v>0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2257</v>
      </c>
      <c r="D71" s="36">
        <f>+D72+D73+D77+D82+D83+D86+D87</f>
        <v>2018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0</v>
      </c>
      <c r="D73" s="38">
        <f>+D74+D75+D76</f>
        <v>0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0</v>
      </c>
      <c r="D76" s="39">
        <v>0</v>
      </c>
    </row>
    <row r="77" spans="1:4" ht="15">
      <c r="A77" s="37"/>
      <c r="B77" s="37" t="s">
        <v>112</v>
      </c>
      <c r="C77" s="38">
        <f>+C78+C79+C80+C81</f>
        <v>4</v>
      </c>
      <c r="D77" s="38">
        <f>+D78+D79+D80+D81</f>
        <v>3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4</v>
      </c>
      <c r="D81" s="39">
        <v>3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2253</v>
      </c>
      <c r="D83" s="38">
        <f>+D84+D85</f>
        <v>2015</v>
      </c>
    </row>
    <row r="84" spans="1:4" ht="15">
      <c r="A84" s="37" t="s">
        <v>121</v>
      </c>
      <c r="B84" s="37" t="s">
        <v>197</v>
      </c>
      <c r="C84" s="39">
        <v>435</v>
      </c>
      <c r="D84" s="39">
        <v>609</v>
      </c>
    </row>
    <row r="85" spans="1:4" ht="15">
      <c r="A85" s="37" t="s">
        <v>123</v>
      </c>
      <c r="B85" s="37" t="s">
        <v>198</v>
      </c>
      <c r="C85" s="39">
        <v>1818</v>
      </c>
      <c r="D85" s="39">
        <v>1406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7657</v>
      </c>
      <c r="D88" s="36">
        <f>+D43+D56+D71</f>
        <v>5612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28">
        <v>43008</v>
      </c>
      <c r="D2" s="28">
        <v>42735</v>
      </c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4354.03956</v>
      </c>
      <c r="D4" s="14">
        <f>SUM(D5:D11)</f>
        <v>4438.205080000001</v>
      </c>
    </row>
    <row r="5" spans="1:4" ht="34.5" thickBot="1">
      <c r="A5" s="15" t="s">
        <v>147</v>
      </c>
      <c r="B5" s="15" t="s">
        <v>11</v>
      </c>
      <c r="C5" s="16">
        <v>2918.05688</v>
      </c>
      <c r="D5" s="16">
        <f>2918.05688</f>
        <v>2918.05688</v>
      </c>
    </row>
    <row r="6" spans="1:4" ht="45.75" thickBot="1">
      <c r="A6" s="15" t="s">
        <v>148</v>
      </c>
      <c r="B6" s="15" t="s">
        <v>19</v>
      </c>
      <c r="C6" s="16">
        <v>1435.95864</v>
      </c>
      <c r="D6" s="16">
        <f>1520.12416</f>
        <v>1520.12416</v>
      </c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/>
      <c r="D8" s="16"/>
    </row>
    <row r="9" spans="1:4" ht="35.25" customHeight="1" thickBot="1">
      <c r="A9" s="15" t="s">
        <v>30</v>
      </c>
      <c r="B9" s="15" t="s">
        <v>31</v>
      </c>
      <c r="C9" s="16">
        <f>24.04/1000</f>
        <v>0.02404</v>
      </c>
      <c r="D9" s="16">
        <f>24.04/1000</f>
        <v>0.02404</v>
      </c>
    </row>
    <row r="10" spans="1:4" ht="15.75" thickBot="1">
      <c r="A10" s="15"/>
      <c r="B10" s="15" t="s">
        <v>32</v>
      </c>
      <c r="C10" s="16"/>
      <c r="D10" s="16"/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199.84332999999998</v>
      </c>
      <c r="D12" s="14">
        <f>SUM(D13:D15,D19:D22)</f>
        <v>201.39713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/>
      <c r="D14" s="16"/>
    </row>
    <row r="15" spans="1:4" ht="15.75" thickBot="1">
      <c r="A15" s="15"/>
      <c r="B15" s="15" t="s">
        <v>48</v>
      </c>
      <c r="C15" s="16">
        <f>SUM(C16:C18)</f>
        <v>28.64736</v>
      </c>
      <c r="D15" s="16">
        <f>SUM(D16:D18)</f>
        <v>28.15892</v>
      </c>
    </row>
    <row r="16" spans="1:4" ht="24" customHeight="1" thickBot="1">
      <c r="A16" s="15" t="s">
        <v>49</v>
      </c>
      <c r="B16" s="15" t="s">
        <v>50</v>
      </c>
      <c r="C16" s="16">
        <v>28.64455</v>
      </c>
      <c r="D16" s="16">
        <v>28.15892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f>2.81/1000</f>
        <v>0.00281</v>
      </c>
      <c r="D18" s="16">
        <v>0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>
        <v>50</v>
      </c>
      <c r="D20" s="16">
        <v>50</v>
      </c>
    </row>
    <row r="21" spans="1:4" ht="15.75" thickBot="1">
      <c r="A21" s="15" t="s">
        <v>58</v>
      </c>
      <c r="B21" s="15" t="s">
        <v>59</v>
      </c>
      <c r="C21" s="16"/>
      <c r="D21" s="16">
        <v>0.72253</v>
      </c>
    </row>
    <row r="22" spans="1:4" ht="15.75" thickBot="1">
      <c r="A22" s="15"/>
      <c r="B22" s="15" t="s">
        <v>60</v>
      </c>
      <c r="C22" s="16">
        <f>121.19597</f>
        <v>121.19597</v>
      </c>
      <c r="D22" s="16">
        <f>122.51568</f>
        <v>122.51568</v>
      </c>
    </row>
    <row r="23" spans="1:4" ht="25.5" customHeight="1" thickBot="1">
      <c r="A23" s="17"/>
      <c r="B23" s="17" t="s">
        <v>61</v>
      </c>
      <c r="C23" s="18">
        <f>C4+C12</f>
        <v>4553.88289</v>
      </c>
      <c r="D23" s="18">
        <f>D4+D12</f>
        <v>4639.602210000001</v>
      </c>
    </row>
    <row r="24" spans="1:4" ht="15.75" thickBot="1">
      <c r="A24" s="13" t="s">
        <v>5</v>
      </c>
      <c r="B24" s="13" t="s">
        <v>62</v>
      </c>
      <c r="C24" s="14">
        <f>C25+C35+C36</f>
        <v>4280.74545</v>
      </c>
      <c r="D24" s="14">
        <f>D25+D35+D36</f>
        <v>4371.244000000001</v>
      </c>
    </row>
    <row r="25" spans="1:4" ht="15.75" thickBot="1">
      <c r="A25" s="15"/>
      <c r="B25" s="15" t="s">
        <v>63</v>
      </c>
      <c r="C25" s="16">
        <f>SUM(C26:C34)</f>
        <v>4089.98111</v>
      </c>
      <c r="D25" s="16">
        <f>SUM(D26:D34)</f>
        <v>4172.005400000001</v>
      </c>
    </row>
    <row r="26" spans="1:4" ht="15.75" thickBot="1">
      <c r="A26" s="15" t="s">
        <v>64</v>
      </c>
      <c r="B26" s="15" t="s">
        <v>65</v>
      </c>
      <c r="C26" s="16">
        <v>150.25303</v>
      </c>
      <c r="D26" s="16">
        <v>150.25303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248.54852</v>
      </c>
      <c r="D28" s="16">
        <v>248.54852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>
        <f>-2287.51397</f>
        <v>-2287.51397</v>
      </c>
      <c r="D30" s="16">
        <f>-2176.52501</f>
        <v>-2176.52501</v>
      </c>
    </row>
    <row r="31" spans="1:4" ht="15.75" thickBot="1">
      <c r="A31" s="15"/>
      <c r="B31" s="15" t="s">
        <v>73</v>
      </c>
      <c r="C31" s="16">
        <f>6060.71782</f>
        <v>6060.71782</v>
      </c>
      <c r="D31" s="16">
        <f>6060.71782</f>
        <v>6060.71782</v>
      </c>
    </row>
    <row r="32" spans="1:4" ht="15.75" thickBot="1">
      <c r="A32" s="15"/>
      <c r="B32" s="15" t="s">
        <v>74</v>
      </c>
      <c r="C32" s="16">
        <v>-82.02429</v>
      </c>
      <c r="D32" s="16">
        <v>-110.98896</v>
      </c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>
        <v>190.76434</v>
      </c>
      <c r="D36" s="16">
        <v>199.2386</v>
      </c>
    </row>
    <row r="37" spans="1:4" ht="15.75" thickBot="1">
      <c r="A37" s="13" t="s">
        <v>5</v>
      </c>
      <c r="B37" s="13" t="s">
        <v>82</v>
      </c>
      <c r="C37" s="14">
        <f>SUM(C38:C39,C44:C48)</f>
        <v>232.82383</v>
      </c>
      <c r="D37" s="14">
        <f>SUM(D38:D39,D44:D48)</f>
        <v>232.82383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>
        <v>232.82383</v>
      </c>
      <c r="D44" s="16">
        <v>232.82383</v>
      </c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40.31361</v>
      </c>
      <c r="D49" s="14">
        <f>SUM(D50:D52,D57:D58,D61:D62)</f>
        <v>35.53438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0.69575</v>
      </c>
      <c r="D52" s="16">
        <f>SUM(D53:D56)</f>
        <v>0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>
        <f>695.75/1000</f>
        <v>0.69575</v>
      </c>
      <c r="D56" s="16"/>
    </row>
    <row r="57" spans="1:4" ht="31.5" customHeight="1" thickBot="1">
      <c r="A57" s="15" t="s">
        <v>118</v>
      </c>
      <c r="B57" s="15" t="s">
        <v>119</v>
      </c>
      <c r="C57" s="16">
        <v>25.86931</v>
      </c>
      <c r="D57" s="16">
        <v>25.86931</v>
      </c>
    </row>
    <row r="58" spans="1:4" ht="15.75" thickBot="1">
      <c r="A58" s="15"/>
      <c r="B58" s="15" t="s">
        <v>120</v>
      </c>
      <c r="C58" s="16">
        <f>SUM(C59:C60)</f>
        <v>13.74855</v>
      </c>
      <c r="D58" s="16">
        <f>SUM(D59:D60)</f>
        <v>9.66507</v>
      </c>
    </row>
    <row r="59" spans="1:4" ht="15.75" thickBot="1">
      <c r="A59" s="15" t="s">
        <v>121</v>
      </c>
      <c r="B59" s="15" t="s">
        <v>122</v>
      </c>
      <c r="C59" s="16"/>
      <c r="D59" s="16">
        <f>127.05/1000</f>
        <v>0.12705</v>
      </c>
    </row>
    <row r="60" spans="1:4" ht="15.75" thickBot="1">
      <c r="A60" s="15" t="s">
        <v>123</v>
      </c>
      <c r="B60" s="15" t="s">
        <v>124</v>
      </c>
      <c r="C60" s="16">
        <v>13.74855</v>
      </c>
      <c r="D60" s="16">
        <f>9.53802</f>
        <v>9.53802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4553.882890000001</v>
      </c>
      <c r="D63" s="18">
        <f>D24+D37+D49</f>
        <v>4639.602210000001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>
        <v>2017</v>
      </c>
      <c r="D3" s="12">
        <v>2016</v>
      </c>
    </row>
    <row r="4" spans="1:4" ht="18.75" customHeight="1" thickBot="1">
      <c r="A4" s="13" t="s">
        <v>5</v>
      </c>
      <c r="B4" s="13" t="s">
        <v>10</v>
      </c>
      <c r="C4" s="14">
        <f>SUM(C5:C11)</f>
        <v>305.66</v>
      </c>
      <c r="D4" s="14">
        <f>SUM(D5:D11)</f>
        <v>305.66</v>
      </c>
    </row>
    <row r="5" spans="1:4" ht="34.5" thickBot="1">
      <c r="A5" s="15" t="s">
        <v>147</v>
      </c>
      <c r="B5" s="15" t="s">
        <v>11</v>
      </c>
      <c r="C5" s="16">
        <v>3.46</v>
      </c>
      <c r="D5" s="16">
        <v>3.46</v>
      </c>
    </row>
    <row r="6" spans="1:4" ht="45.75" thickBot="1">
      <c r="A6" s="15" t="s">
        <v>148</v>
      </c>
      <c r="B6" s="15" t="s">
        <v>19</v>
      </c>
      <c r="C6" s="16">
        <v>0.5</v>
      </c>
      <c r="D6" s="16">
        <v>0.5</v>
      </c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/>
      <c r="D8" s="16"/>
    </row>
    <row r="9" spans="1:4" ht="35.25" customHeight="1" thickBot="1">
      <c r="A9" s="15" t="s">
        <v>30</v>
      </c>
      <c r="B9" s="15" t="s">
        <v>31</v>
      </c>
      <c r="C9" s="16">
        <v>254.4</v>
      </c>
      <c r="D9" s="16">
        <v>254.4</v>
      </c>
    </row>
    <row r="10" spans="1:4" ht="15.75" thickBot="1">
      <c r="A10" s="15"/>
      <c r="B10" s="15" t="s">
        <v>32</v>
      </c>
      <c r="C10" s="16">
        <v>47.3</v>
      </c>
      <c r="D10" s="16">
        <v>47.3</v>
      </c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2806.3599999999997</v>
      </c>
      <c r="D12" s="14">
        <f>SUM(D13:D15,D19:D22)</f>
        <v>2129.15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>
        <v>29.3</v>
      </c>
      <c r="D14" s="16">
        <v>29.3</v>
      </c>
    </row>
    <row r="15" spans="1:4" ht="15.75" thickBot="1">
      <c r="A15" s="15"/>
      <c r="B15" s="15" t="s">
        <v>48</v>
      </c>
      <c r="C15" s="16">
        <f>SUM(C16:C18)</f>
        <v>180.98000000000002</v>
      </c>
      <c r="D15" s="16">
        <f>SUM(D16:D18)</f>
        <v>119.18</v>
      </c>
    </row>
    <row r="16" spans="1:4" ht="24" customHeight="1" thickBot="1">
      <c r="A16" s="15" t="s">
        <v>49</v>
      </c>
      <c r="B16" s="15" t="s">
        <v>50</v>
      </c>
      <c r="C16" s="16">
        <v>1.8</v>
      </c>
      <c r="D16" s="16">
        <v>38.4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179.18</v>
      </c>
      <c r="D18" s="16">
        <v>80.78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>
        <v>1802</v>
      </c>
      <c r="D20" s="16">
        <v>1787</v>
      </c>
    </row>
    <row r="21" spans="1:4" ht="15.75" thickBot="1">
      <c r="A21" s="15" t="s">
        <v>58</v>
      </c>
      <c r="B21" s="15" t="s">
        <v>59</v>
      </c>
      <c r="C21" s="16">
        <v>5.36</v>
      </c>
      <c r="D21" s="16">
        <v>40.31</v>
      </c>
    </row>
    <row r="22" spans="1:4" ht="15.75" thickBot="1">
      <c r="A22" s="15"/>
      <c r="B22" s="15" t="s">
        <v>60</v>
      </c>
      <c r="C22" s="16">
        <v>788.72</v>
      </c>
      <c r="D22" s="16">
        <v>153.36</v>
      </c>
    </row>
    <row r="23" spans="1:4" ht="25.5" customHeight="1" thickBot="1">
      <c r="A23" s="17"/>
      <c r="B23" s="17" t="s">
        <v>61</v>
      </c>
      <c r="C23" s="18">
        <f>C4+C12</f>
        <v>3112.0199999999995</v>
      </c>
      <c r="D23" s="18">
        <f>D4+D12</f>
        <v>2434.81</v>
      </c>
    </row>
    <row r="24" spans="1:4" ht="15.75" thickBot="1">
      <c r="A24" s="13" t="s">
        <v>5</v>
      </c>
      <c r="B24" s="13" t="s">
        <v>62</v>
      </c>
      <c r="C24" s="14">
        <f>C25+C35+C36</f>
        <v>2142.75</v>
      </c>
      <c r="D24" s="14">
        <f>D25+D35+D36</f>
        <v>984.98</v>
      </c>
    </row>
    <row r="25" spans="1:4" ht="15.75" thickBot="1">
      <c r="A25" s="15"/>
      <c r="B25" s="15" t="s">
        <v>63</v>
      </c>
      <c r="C25" s="16">
        <f>SUM(C26:C34)</f>
        <v>2142.75</v>
      </c>
      <c r="D25" s="16">
        <f>SUM(D26:D34)</f>
        <v>984.98</v>
      </c>
    </row>
    <row r="26" spans="1:4" ht="15.75" thickBot="1">
      <c r="A26" s="15" t="s">
        <v>64</v>
      </c>
      <c r="B26" s="15" t="s">
        <v>65</v>
      </c>
      <c r="C26" s="16">
        <v>503</v>
      </c>
      <c r="D26" s="16">
        <v>503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218.77</v>
      </c>
      <c r="D28" s="16">
        <v>218.77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/>
      <c r="D30" s="16"/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>
        <v>1420.98</v>
      </c>
      <c r="D32" s="16">
        <v>263.21</v>
      </c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0</v>
      </c>
      <c r="D37" s="14">
        <f>SUM(D38:D39,D44:D48)</f>
        <v>55.55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f>SUM(D40:D43)</f>
        <v>55.55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>
        <v>55.55</v>
      </c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969.27</v>
      </c>
      <c r="D49" s="14">
        <f>SUM(D50:D52,D57:D58,D61:D62)</f>
        <v>1394.27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0</v>
      </c>
      <c r="D52" s="16">
        <f>SUM(D53:D56)</f>
        <v>53.79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/>
      <c r="D56" s="16">
        <v>53.79</v>
      </c>
    </row>
    <row r="57" spans="1:4" ht="31.5" customHeight="1" thickBot="1">
      <c r="A57" s="15" t="s">
        <v>118</v>
      </c>
      <c r="B57" s="15" t="s">
        <v>119</v>
      </c>
      <c r="C57" s="16"/>
      <c r="D57" s="16"/>
    </row>
    <row r="58" spans="1:4" ht="15.75" thickBot="1">
      <c r="A58" s="15"/>
      <c r="B58" s="15" t="s">
        <v>120</v>
      </c>
      <c r="C58" s="16">
        <f>SUM(C59:C60)</f>
        <v>2.11</v>
      </c>
      <c r="D58" s="16">
        <f>SUM(D59:D60)</f>
        <v>137.10999999999999</v>
      </c>
    </row>
    <row r="59" spans="1:4" ht="15.75" thickBot="1">
      <c r="A59" s="15" t="s">
        <v>121</v>
      </c>
      <c r="B59" s="15" t="s">
        <v>122</v>
      </c>
      <c r="C59" s="16">
        <v>2.11</v>
      </c>
      <c r="D59" s="16">
        <v>1.66</v>
      </c>
    </row>
    <row r="60" spans="1:4" ht="15.75" thickBot="1">
      <c r="A60" s="15" t="s">
        <v>123</v>
      </c>
      <c r="B60" s="15" t="s">
        <v>124</v>
      </c>
      <c r="C60" s="16"/>
      <c r="D60" s="16">
        <v>135.45</v>
      </c>
    </row>
    <row r="61" spans="1:4" ht="15.75" thickBot="1">
      <c r="A61" s="15" t="s">
        <v>125</v>
      </c>
      <c r="B61" s="15" t="s">
        <v>126</v>
      </c>
      <c r="C61" s="16">
        <v>967.16</v>
      </c>
      <c r="D61" s="16">
        <v>1203.37</v>
      </c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3112.02</v>
      </c>
      <c r="D63" s="18">
        <f>D24+D37+D49</f>
        <v>2434.8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68.421875" style="0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23">
        <v>43008</v>
      </c>
      <c r="D3" s="23">
        <v>42705</v>
      </c>
    </row>
    <row r="4" spans="1:4" ht="18.75" customHeight="1" thickBot="1">
      <c r="A4" s="13" t="s">
        <v>5</v>
      </c>
      <c r="B4" s="13" t="s">
        <v>10</v>
      </c>
      <c r="C4" s="14">
        <f>SUM(C5:C11)</f>
        <v>148.22355000000002</v>
      </c>
      <c r="D4" s="14">
        <f>SUM(D5:D11)</f>
        <v>145.03012999999999</v>
      </c>
    </row>
    <row r="5" spans="1:4" ht="34.5" thickBot="1">
      <c r="A5" s="15" t="s">
        <v>147</v>
      </c>
      <c r="B5" s="15" t="s">
        <v>11</v>
      </c>
      <c r="C5" s="16">
        <v>3.167</v>
      </c>
      <c r="D5" s="16">
        <f>5813.75/1000</f>
        <v>5.81375</v>
      </c>
    </row>
    <row r="6" spans="1:4" ht="45.75" thickBot="1">
      <c r="A6" s="15" t="s">
        <v>148</v>
      </c>
      <c r="B6" s="15" t="s">
        <v>19</v>
      </c>
      <c r="C6" s="16">
        <v>138.484</v>
      </c>
      <c r="D6" s="16">
        <f>131684.11/1000</f>
        <v>131.68410999999998</v>
      </c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/>
      <c r="D8" s="16"/>
    </row>
    <row r="9" spans="1:4" ht="35.25" customHeight="1" thickBot="1">
      <c r="A9" s="15" t="s">
        <v>30</v>
      </c>
      <c r="B9" s="15" t="s">
        <v>31</v>
      </c>
      <c r="C9" s="16">
        <f>4975.55/1000</f>
        <v>4.97555</v>
      </c>
      <c r="D9" s="16">
        <f>4975.55/1000</f>
        <v>4.97555</v>
      </c>
    </row>
    <row r="10" spans="1:4" ht="15.75" thickBot="1">
      <c r="A10" s="15"/>
      <c r="B10" s="15" t="s">
        <v>32</v>
      </c>
      <c r="C10" s="16">
        <v>1.597</v>
      </c>
      <c r="D10" s="16">
        <f>2556.72/1000</f>
        <v>2.55672</v>
      </c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11044.95</v>
      </c>
      <c r="D12" s="14">
        <f>SUM(D13:D15,D19:D22)</f>
        <v>10840.825499999999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>
        <v>3.592</v>
      </c>
      <c r="D14" s="16">
        <f>4857.03/1000</f>
        <v>4.85703</v>
      </c>
    </row>
    <row r="15" spans="1:4" ht="15.75" thickBot="1">
      <c r="A15" s="15"/>
      <c r="B15" s="15" t="s">
        <v>48</v>
      </c>
      <c r="C15" s="16">
        <f>SUM(C16:C18)</f>
        <v>10460.265</v>
      </c>
      <c r="D15" s="16">
        <f>SUM(D16:D18)</f>
        <v>10157.81209</v>
      </c>
    </row>
    <row r="16" spans="1:4" ht="24" customHeight="1" thickBot="1">
      <c r="A16" s="15" t="s">
        <v>49</v>
      </c>
      <c r="B16" s="15" t="s">
        <v>50</v>
      </c>
      <c r="C16" s="16">
        <v>10458.067</v>
      </c>
      <c r="D16" s="20">
        <f>+(7493.87+10147526.42)/1000</f>
        <v>10155.020289999999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2.198</v>
      </c>
      <c r="D18" s="16">
        <f>2791.8/1000</f>
        <v>2.7918000000000003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>
        <v>24.303</v>
      </c>
      <c r="D20" s="16">
        <f>38604.69/1000</f>
        <v>38.604690000000005</v>
      </c>
    </row>
    <row r="21" spans="1:4" ht="15.75" thickBot="1">
      <c r="A21" s="15" t="s">
        <v>58</v>
      </c>
      <c r="B21" s="15" t="s">
        <v>59</v>
      </c>
      <c r="C21" s="16">
        <v>0</v>
      </c>
      <c r="D21" s="16">
        <f>3434.6/1000</f>
        <v>3.4346</v>
      </c>
    </row>
    <row r="22" spans="1:4" ht="15.75" thickBot="1">
      <c r="A22" s="15"/>
      <c r="B22" s="15" t="s">
        <v>60</v>
      </c>
      <c r="C22" s="16">
        <v>556.79</v>
      </c>
      <c r="D22" s="16">
        <f>636117.09/1000</f>
        <v>636.11709</v>
      </c>
    </row>
    <row r="23" spans="1:4" ht="25.5" customHeight="1" thickBot="1">
      <c r="A23" s="17"/>
      <c r="B23" s="17" t="s">
        <v>61</v>
      </c>
      <c r="C23" s="18">
        <f>C4+C12</f>
        <v>11193.173550000001</v>
      </c>
      <c r="D23" s="18">
        <f>D4+D12</f>
        <v>10985.855629999998</v>
      </c>
    </row>
    <row r="24" spans="1:4" ht="15.75" thickBot="1">
      <c r="A24" s="13" t="s">
        <v>5</v>
      </c>
      <c r="B24" s="13" t="s">
        <v>62</v>
      </c>
      <c r="C24" s="14">
        <f>C25+C35+C36</f>
        <v>9597.212</v>
      </c>
      <c r="D24" s="14">
        <f>D25+D35+D36</f>
        <v>8902.49623</v>
      </c>
    </row>
    <row r="25" spans="1:4" ht="15.75" thickBot="1">
      <c r="A25" s="15"/>
      <c r="B25" s="15" t="s">
        <v>63</v>
      </c>
      <c r="C25" s="16">
        <f>SUM(C26:C34)</f>
        <v>9597.212</v>
      </c>
      <c r="D25" s="16">
        <f>SUM(D26:D34)</f>
        <v>8902.49623</v>
      </c>
    </row>
    <row r="26" spans="1:4" ht="15.75" thickBot="1">
      <c r="A26" s="15" t="s">
        <v>64</v>
      </c>
      <c r="B26" s="15" t="s">
        <v>65</v>
      </c>
      <c r="C26" s="16">
        <f>4620000/1000</f>
        <v>4620</v>
      </c>
      <c r="D26" s="16">
        <f>4620000/1000</f>
        <v>4620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4282.496</v>
      </c>
      <c r="D28" s="16">
        <f>3282333.24/1000</f>
        <v>3282.3332400000004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/>
      <c r="D30" s="16">
        <v>0</v>
      </c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>
        <v>694.716</v>
      </c>
      <c r="D32" s="16">
        <f>1000162.99/1000</f>
        <v>1000.16299</v>
      </c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0</v>
      </c>
      <c r="D37" s="14">
        <f>SUM(D38:D39,D44:D48)</f>
        <v>0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1595.954</v>
      </c>
      <c r="D49" s="14">
        <f>SUM(D50:D52,D57:D58,D61:D62)</f>
        <v>2083.36037</v>
      </c>
    </row>
    <row r="50" spans="1:4" ht="23.2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1.586</v>
      </c>
      <c r="D52" s="16">
        <f>SUM(D53:D56)</f>
        <v>-0.03324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>
        <v>1.586</v>
      </c>
      <c r="D56" s="16">
        <f>-33.24/1000</f>
        <v>-0.03324</v>
      </c>
    </row>
    <row r="57" spans="1:4" ht="31.5" customHeight="1" thickBot="1">
      <c r="A57" s="15" t="s">
        <v>118</v>
      </c>
      <c r="B57" s="15" t="s">
        <v>119</v>
      </c>
      <c r="C57" s="16">
        <v>562.722</v>
      </c>
      <c r="D57" s="16">
        <f>1181943.69/1000</f>
        <v>1181.9436899999998</v>
      </c>
    </row>
    <row r="58" spans="1:4" ht="15.75" thickBot="1">
      <c r="A58" s="15"/>
      <c r="B58" s="15" t="s">
        <v>120</v>
      </c>
      <c r="C58" s="16">
        <f>SUM(C59:C60)</f>
        <v>1031.646</v>
      </c>
      <c r="D58" s="16">
        <f>SUM(D59:D60)</f>
        <v>901.44992</v>
      </c>
    </row>
    <row r="59" spans="1:4" ht="15.75" thickBot="1">
      <c r="A59" s="15" t="s">
        <v>121</v>
      </c>
      <c r="B59" s="15" t="s">
        <v>122</v>
      </c>
      <c r="C59" s="16">
        <f>128.509+97.036</f>
        <v>225.545</v>
      </c>
      <c r="D59" s="19">
        <f>+(116840.95+40067.71)/1000</f>
        <v>156.90866</v>
      </c>
    </row>
    <row r="60" spans="1:4" ht="15.75" thickBot="1">
      <c r="A60" s="15" t="s">
        <v>123</v>
      </c>
      <c r="B60" s="15" t="s">
        <v>124</v>
      </c>
      <c r="C60" s="16">
        <f>64.674+394.101+347.326</f>
        <v>806.101</v>
      </c>
      <c r="D60" s="16">
        <f>+(43130.7+362419.61+338990.95)/1000</f>
        <v>744.54126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11193.166</v>
      </c>
      <c r="D63" s="18">
        <f>D24+D37+D49</f>
        <v>10985.856600000001</v>
      </c>
    </row>
    <row r="64" ht="15">
      <c r="C64" s="19"/>
    </row>
    <row r="65" spans="3:4" ht="15">
      <c r="C65" s="19"/>
      <c r="D65" s="19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22" t="s">
        <v>208</v>
      </c>
      <c r="D3" s="22" t="s">
        <v>201</v>
      </c>
    </row>
    <row r="4" spans="1:4" ht="18.75" customHeight="1" thickBot="1">
      <c r="A4" s="13" t="s">
        <v>5</v>
      </c>
      <c r="B4" s="13" t="s">
        <v>10</v>
      </c>
      <c r="C4" s="14">
        <f>SUM(C5:C11)</f>
        <v>2544786</v>
      </c>
      <c r="D4" s="14">
        <f>SUM(D5:D11)</f>
        <v>2591603</v>
      </c>
    </row>
    <row r="5" spans="1:4" ht="34.5" thickBot="1">
      <c r="A5" s="15" t="s">
        <v>147</v>
      </c>
      <c r="B5" s="15" t="s">
        <v>11</v>
      </c>
      <c r="C5" s="16">
        <v>113</v>
      </c>
      <c r="D5" s="16"/>
    </row>
    <row r="6" spans="1:4" ht="45.75" thickBot="1">
      <c r="A6" s="15" t="s">
        <v>148</v>
      </c>
      <c r="B6" s="15" t="s">
        <v>19</v>
      </c>
      <c r="C6" s="16">
        <v>366</v>
      </c>
      <c r="D6" s="16"/>
    </row>
    <row r="7" spans="1:4" ht="15.75" thickBot="1">
      <c r="A7" s="15" t="s">
        <v>149</v>
      </c>
      <c r="B7" s="15" t="s">
        <v>24</v>
      </c>
      <c r="C7" s="16">
        <v>57813</v>
      </c>
      <c r="D7" s="16">
        <v>61926</v>
      </c>
    </row>
    <row r="8" spans="1:4" ht="29.25" customHeight="1" thickBot="1">
      <c r="A8" s="15" t="s">
        <v>28</v>
      </c>
      <c r="B8" s="15" t="s">
        <v>29</v>
      </c>
      <c r="C8" s="16">
        <v>2484778</v>
      </c>
      <c r="D8" s="16">
        <v>2527921</v>
      </c>
    </row>
    <row r="9" spans="1:4" ht="35.25" customHeight="1" thickBot="1">
      <c r="A9" s="15" t="s">
        <v>30</v>
      </c>
      <c r="B9" s="15" t="s">
        <v>31</v>
      </c>
      <c r="C9" s="16">
        <v>776</v>
      </c>
      <c r="D9" s="16">
        <v>720</v>
      </c>
    </row>
    <row r="10" spans="1:4" ht="15.75" thickBot="1">
      <c r="A10" s="15"/>
      <c r="B10" s="15" t="s">
        <v>32</v>
      </c>
      <c r="C10" s="16">
        <v>940</v>
      </c>
      <c r="D10" s="16">
        <v>1036</v>
      </c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114974</v>
      </c>
      <c r="D12" s="14">
        <f>SUM(D13:D15,D19:D22)</f>
        <v>142833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/>
      <c r="D14" s="16"/>
    </row>
    <row r="15" spans="1:4" ht="15.75" thickBot="1">
      <c r="A15" s="15"/>
      <c r="B15" s="15" t="s">
        <v>48</v>
      </c>
      <c r="C15" s="16">
        <f>SUM(C16:C18)</f>
        <v>6052</v>
      </c>
      <c r="D15" s="16">
        <f>SUM(D16:D18)</f>
        <v>8504</v>
      </c>
    </row>
    <row r="16" spans="1:4" ht="24" customHeight="1" thickBot="1">
      <c r="A16" s="15" t="s">
        <v>49</v>
      </c>
      <c r="B16" s="15" t="s">
        <v>50</v>
      </c>
      <c r="C16" s="16">
        <v>0</v>
      </c>
      <c r="D16" s="16">
        <v>0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6052</v>
      </c>
      <c r="D18" s="16">
        <f>5125+3367+12</f>
        <v>8504</v>
      </c>
    </row>
    <row r="19" spans="1:4" ht="46.5" customHeight="1" thickBot="1">
      <c r="A19" s="15" t="s">
        <v>54</v>
      </c>
      <c r="B19" s="15" t="s">
        <v>55</v>
      </c>
      <c r="C19" s="16">
        <v>101798</v>
      </c>
      <c r="D19" s="16">
        <v>127561</v>
      </c>
    </row>
    <row r="20" spans="1:4" ht="52.5" customHeight="1" thickBot="1">
      <c r="A20" s="15" t="s">
        <v>56</v>
      </c>
      <c r="B20" s="15" t="s">
        <v>57</v>
      </c>
      <c r="C20" s="16"/>
      <c r="D20" s="16"/>
    </row>
    <row r="21" spans="1:4" ht="15.75" thickBot="1">
      <c r="A21" s="15" t="s">
        <v>58</v>
      </c>
      <c r="B21" s="15" t="s">
        <v>59</v>
      </c>
      <c r="C21" s="16">
        <v>10</v>
      </c>
      <c r="D21" s="16">
        <v>38</v>
      </c>
    </row>
    <row r="22" spans="1:4" ht="15.75" thickBot="1">
      <c r="A22" s="15"/>
      <c r="B22" s="15" t="s">
        <v>60</v>
      </c>
      <c r="C22" s="16">
        <v>7114</v>
      </c>
      <c r="D22" s="16">
        <v>6730</v>
      </c>
    </row>
    <row r="23" spans="1:4" ht="25.5" customHeight="1" thickBot="1">
      <c r="A23" s="17"/>
      <c r="B23" s="17" t="s">
        <v>61</v>
      </c>
      <c r="C23" s="18">
        <f>C4+C12</f>
        <v>2659760</v>
      </c>
      <c r="D23" s="18">
        <f>D4+D12</f>
        <v>2734436</v>
      </c>
    </row>
    <row r="24" spans="1:4" ht="15.75" thickBot="1">
      <c r="A24" s="13" t="s">
        <v>5</v>
      </c>
      <c r="B24" s="13" t="s">
        <v>62</v>
      </c>
      <c r="C24" s="14">
        <f>C25+C35+C36</f>
        <v>2213549</v>
      </c>
      <c r="D24" s="14">
        <f>D25+D35+D36</f>
        <v>2213264</v>
      </c>
    </row>
    <row r="25" spans="1:4" ht="15.75" thickBot="1">
      <c r="A25" s="15"/>
      <c r="B25" s="15" t="s">
        <v>63</v>
      </c>
      <c r="C25" s="16">
        <f>SUM(C26:C34)</f>
        <v>2213549</v>
      </c>
      <c r="D25" s="16">
        <f>SUM(D26:D34)</f>
        <v>2213264</v>
      </c>
    </row>
    <row r="26" spans="1:4" ht="15.75" thickBot="1">
      <c r="A26" s="15" t="s">
        <v>64</v>
      </c>
      <c r="B26" s="15" t="s">
        <v>65</v>
      </c>
      <c r="C26" s="16">
        <v>1314296</v>
      </c>
      <c r="D26" s="16">
        <v>1312460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898968</v>
      </c>
      <c r="D28" s="16">
        <v>898968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/>
      <c r="D30" s="16"/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>
        <v>26544</v>
      </c>
      <c r="D32" s="16">
        <v>179237</v>
      </c>
    </row>
    <row r="33" spans="1:4" ht="15.75" thickBot="1">
      <c r="A33" s="15" t="s">
        <v>75</v>
      </c>
      <c r="B33" s="15" t="s">
        <v>76</v>
      </c>
      <c r="C33" s="16">
        <v>-26259</v>
      </c>
      <c r="D33" s="16">
        <v>-177401</v>
      </c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336715</v>
      </c>
      <c r="D37" s="14">
        <f>SUM(D38:D39,D44:D48)</f>
        <v>379858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336715</v>
      </c>
      <c r="D39" s="16">
        <f>SUM(D40:D43)</f>
        <v>379858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>
        <v>336714</v>
      </c>
      <c r="D41" s="16">
        <v>379857</v>
      </c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>
        <v>1</v>
      </c>
      <c r="D43" s="16">
        <v>1</v>
      </c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109496</v>
      </c>
      <c r="D49" s="14">
        <f>SUM(D50:D52,D57:D58,D61:D62)</f>
        <v>141315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>
        <v>6869</v>
      </c>
      <c r="D51" s="16">
        <v>6869</v>
      </c>
    </row>
    <row r="52" spans="1:4" ht="15.75" thickBot="1">
      <c r="A52" s="15"/>
      <c r="B52" s="15" t="s">
        <v>112</v>
      </c>
      <c r="C52" s="16">
        <f>SUM(C53:C56)</f>
        <v>83528</v>
      </c>
      <c r="D52" s="16">
        <f>SUM(D53:D56)</f>
        <v>104119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>
        <v>83528</v>
      </c>
      <c r="D54" s="16">
        <v>104119</v>
      </c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/>
      <c r="D56" s="16"/>
    </row>
    <row r="57" spans="1:4" ht="31.5" customHeight="1" thickBot="1">
      <c r="A57" s="15" t="s">
        <v>118</v>
      </c>
      <c r="B57" s="15" t="s">
        <v>119</v>
      </c>
      <c r="C57" s="16">
        <v>16359</v>
      </c>
      <c r="D57" s="16">
        <v>20523</v>
      </c>
    </row>
    <row r="58" spans="1:4" ht="15.75" thickBot="1">
      <c r="A58" s="15"/>
      <c r="B58" s="15" t="s">
        <v>120</v>
      </c>
      <c r="C58" s="16">
        <f>SUM(C59:C60)</f>
        <v>1706</v>
      </c>
      <c r="D58" s="16">
        <f>SUM(D59:D60)</f>
        <v>4702</v>
      </c>
    </row>
    <row r="59" spans="1:4" ht="15.75" thickBot="1">
      <c r="A59" s="15" t="s">
        <v>121</v>
      </c>
      <c r="B59" s="15" t="s">
        <v>122</v>
      </c>
      <c r="C59" s="16">
        <v>252</v>
      </c>
      <c r="D59" s="16">
        <v>2811</v>
      </c>
    </row>
    <row r="60" spans="1:4" ht="15.75" thickBot="1">
      <c r="A60" s="15" t="s">
        <v>123</v>
      </c>
      <c r="B60" s="15" t="s">
        <v>124</v>
      </c>
      <c r="C60" s="16">
        <f>272+55+98+1029</f>
        <v>1454</v>
      </c>
      <c r="D60" s="16">
        <f>127+96+1668</f>
        <v>1891</v>
      </c>
    </row>
    <row r="61" spans="1:4" ht="15.75" thickBot="1">
      <c r="A61" s="15" t="s">
        <v>125</v>
      </c>
      <c r="B61" s="15" t="s">
        <v>126</v>
      </c>
      <c r="C61" s="16">
        <v>1034</v>
      </c>
      <c r="D61" s="16">
        <v>5102</v>
      </c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2659760</v>
      </c>
      <c r="D63" s="18">
        <f>D24+D37+D49</f>
        <v>2734437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0.28125" style="0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23" t="s">
        <v>209</v>
      </c>
      <c r="D3" s="12" t="s">
        <v>200</v>
      </c>
    </row>
    <row r="4" spans="1:4" ht="18.75" customHeight="1" thickBot="1">
      <c r="A4" s="13" t="s">
        <v>5</v>
      </c>
      <c r="B4" s="13" t="s">
        <v>10</v>
      </c>
      <c r="C4" s="42">
        <f>SUM(C5:C11)</f>
        <v>4638623755.96</v>
      </c>
      <c r="D4" s="42">
        <f>SUM(D5:D11)</f>
        <v>4647880303.27</v>
      </c>
    </row>
    <row r="5" spans="1:4" ht="34.5" thickBot="1">
      <c r="A5" s="15" t="s">
        <v>147</v>
      </c>
      <c r="B5" s="15" t="s">
        <v>11</v>
      </c>
      <c r="C5" s="43">
        <v>4216827779.5499997</v>
      </c>
      <c r="D5" s="43">
        <v>4230886184.87</v>
      </c>
    </row>
    <row r="6" spans="1:4" ht="45.75" thickBot="1">
      <c r="A6" s="15" t="s">
        <v>148</v>
      </c>
      <c r="B6" s="15" t="s">
        <v>19</v>
      </c>
      <c r="C6" s="43">
        <v>7328944.07</v>
      </c>
      <c r="D6" s="43">
        <v>21319499.38</v>
      </c>
    </row>
    <row r="7" spans="1:4" ht="15.75" thickBot="1">
      <c r="A7" s="15" t="s">
        <v>149</v>
      </c>
      <c r="B7" s="15" t="s">
        <v>24</v>
      </c>
      <c r="C7" s="43">
        <v>14638148.330000002</v>
      </c>
      <c r="D7" s="43">
        <v>13954432.89</v>
      </c>
    </row>
    <row r="8" spans="1:4" ht="29.25" customHeight="1" thickBot="1">
      <c r="A8" s="15" t="s">
        <v>28</v>
      </c>
      <c r="B8" s="15" t="s">
        <v>29</v>
      </c>
      <c r="C8" s="43">
        <v>247999093.77</v>
      </c>
      <c r="D8" s="43">
        <v>231496093.77</v>
      </c>
    </row>
    <row r="9" spans="1:4" ht="35.25" customHeight="1" thickBot="1">
      <c r="A9" s="15" t="s">
        <v>30</v>
      </c>
      <c r="B9" s="15" t="s">
        <v>31</v>
      </c>
      <c r="C9" s="43">
        <v>151699343.76999998</v>
      </c>
      <c r="D9" s="43">
        <v>150080151.43</v>
      </c>
    </row>
    <row r="10" spans="1:4" ht="15.75" thickBot="1">
      <c r="A10" s="15"/>
      <c r="B10" s="15" t="s">
        <v>32</v>
      </c>
      <c r="C10" s="43">
        <v>130446.47</v>
      </c>
      <c r="D10" s="43">
        <v>143940.93</v>
      </c>
    </row>
    <row r="11" spans="1:4" ht="15.75" thickBot="1">
      <c r="A11" s="15" t="s">
        <v>33</v>
      </c>
      <c r="B11" s="15" t="s">
        <v>34</v>
      </c>
      <c r="C11" s="43"/>
      <c r="D11" s="43"/>
    </row>
    <row r="12" spans="1:4" ht="15.75" thickBot="1">
      <c r="A12" s="13" t="s">
        <v>5</v>
      </c>
      <c r="B12" s="13" t="s">
        <v>35</v>
      </c>
      <c r="C12" s="42">
        <f>SUM(C13:C15,C19:C22)</f>
        <v>413967691.98</v>
      </c>
      <c r="D12" s="42">
        <f>SUM(D13:D15,D19:D22)</f>
        <v>263500851.61999997</v>
      </c>
    </row>
    <row r="13" spans="1:4" ht="23.25" thickBot="1">
      <c r="A13" s="15" t="s">
        <v>150</v>
      </c>
      <c r="B13" s="15" t="s">
        <v>36</v>
      </c>
      <c r="C13" s="43">
        <v>13700987.68</v>
      </c>
      <c r="D13" s="43"/>
    </row>
    <row r="14" spans="1:4" ht="15.75" thickBot="1">
      <c r="A14" s="15" t="s">
        <v>46</v>
      </c>
      <c r="B14" s="15" t="s">
        <v>45</v>
      </c>
      <c r="C14" s="43">
        <v>5780996.890000001</v>
      </c>
      <c r="D14" s="43">
        <v>4981594.07</v>
      </c>
    </row>
    <row r="15" spans="1:4" ht="15.75" thickBot="1">
      <c r="A15" s="15"/>
      <c r="B15" s="15" t="s">
        <v>48</v>
      </c>
      <c r="C15" s="43">
        <f>SUM(C16:C18)</f>
        <v>179715242.44</v>
      </c>
      <c r="D15" s="43">
        <f>SUM(D16:D18)</f>
        <v>168359536.14</v>
      </c>
    </row>
    <row r="16" spans="1:4" ht="24" customHeight="1" thickBot="1">
      <c r="A16" s="15" t="s">
        <v>49</v>
      </c>
      <c r="B16" s="15" t="s">
        <v>50</v>
      </c>
      <c r="C16" s="43">
        <v>158777303.66</v>
      </c>
      <c r="D16" s="43">
        <v>138968189.76</v>
      </c>
    </row>
    <row r="17" spans="1:4" ht="15.75" thickBot="1">
      <c r="A17" s="15"/>
      <c r="B17" s="15" t="s">
        <v>51</v>
      </c>
      <c r="C17" s="43"/>
      <c r="D17" s="43"/>
    </row>
    <row r="18" spans="1:4" ht="15.75" thickBot="1">
      <c r="A18" s="15" t="s">
        <v>52</v>
      </c>
      <c r="B18" s="15" t="s">
        <v>53</v>
      </c>
      <c r="C18" s="43">
        <v>20937938.78</v>
      </c>
      <c r="D18" s="43">
        <v>29391346.380000003</v>
      </c>
    </row>
    <row r="19" spans="1:4" ht="46.5" customHeight="1" thickBot="1">
      <c r="A19" s="15" t="s">
        <v>54</v>
      </c>
      <c r="B19" s="15" t="s">
        <v>55</v>
      </c>
      <c r="C19" s="43">
        <v>11503753.8</v>
      </c>
      <c r="D19" s="43">
        <v>12039663.84</v>
      </c>
    </row>
    <row r="20" spans="1:4" ht="52.5" customHeight="1" thickBot="1">
      <c r="A20" s="15" t="s">
        <v>56</v>
      </c>
      <c r="B20" s="15" t="s">
        <v>57</v>
      </c>
      <c r="C20" s="43">
        <v>11901658.55</v>
      </c>
      <c r="D20" s="43">
        <v>12808353.68</v>
      </c>
    </row>
    <row r="21" spans="1:4" ht="15.75" thickBot="1">
      <c r="A21" s="15" t="s">
        <v>58</v>
      </c>
      <c r="B21" s="15" t="s">
        <v>59</v>
      </c>
      <c r="C21" s="43">
        <v>4389043.19</v>
      </c>
      <c r="D21" s="43">
        <v>4488164.79</v>
      </c>
    </row>
    <row r="22" spans="1:4" ht="15.75" thickBot="1">
      <c r="A22" s="15"/>
      <c r="B22" s="15" t="s">
        <v>60</v>
      </c>
      <c r="C22" s="43">
        <v>186976009.43</v>
      </c>
      <c r="D22" s="43">
        <v>60823539.1</v>
      </c>
    </row>
    <row r="23" spans="1:4" ht="25.5" customHeight="1" thickBot="1">
      <c r="A23" s="17"/>
      <c r="B23" s="17" t="s">
        <v>61</v>
      </c>
      <c r="C23" s="44">
        <f>C4+C12</f>
        <v>5052591447.940001</v>
      </c>
      <c r="D23" s="44">
        <f>D4+D12</f>
        <v>4911381154.89</v>
      </c>
    </row>
    <row r="24" spans="1:4" ht="15.75" thickBot="1">
      <c r="A24" s="13" t="s">
        <v>5</v>
      </c>
      <c r="B24" s="13" t="s">
        <v>62</v>
      </c>
      <c r="C24" s="42">
        <f>C25+C35+C36</f>
        <v>3344392903.2400002</v>
      </c>
      <c r="D24" s="42">
        <f>D25+D35+D36</f>
        <v>3172621431.78</v>
      </c>
    </row>
    <row r="25" spans="1:4" ht="15.75" thickBot="1">
      <c r="A25" s="15"/>
      <c r="B25" s="15" t="s">
        <v>63</v>
      </c>
      <c r="C25" s="43">
        <f>SUM(C26:C34)</f>
        <v>2635190254.28</v>
      </c>
      <c r="D25" s="43">
        <f>SUM(D26:D34)</f>
        <v>2467131976.21</v>
      </c>
    </row>
    <row r="26" spans="1:4" ht="15.75" thickBot="1">
      <c r="A26" s="15" t="s">
        <v>64</v>
      </c>
      <c r="B26" s="15" t="s">
        <v>65</v>
      </c>
      <c r="C26" s="43">
        <v>1074032000</v>
      </c>
      <c r="D26" s="43">
        <v>1074032000</v>
      </c>
    </row>
    <row r="27" spans="1:4" ht="15.75" thickBot="1">
      <c r="A27" s="15"/>
      <c r="B27" s="15" t="s">
        <v>66</v>
      </c>
      <c r="C27" s="43">
        <v>1074032000</v>
      </c>
      <c r="D27" s="43">
        <v>1074032000</v>
      </c>
    </row>
    <row r="28" spans="1:4" ht="15.75" thickBot="1">
      <c r="A28" s="15" t="s">
        <v>67</v>
      </c>
      <c r="B28" s="15" t="s">
        <v>68</v>
      </c>
      <c r="C28" s="43">
        <v>287200476.88</v>
      </c>
      <c r="D28" s="43">
        <v>205757925.66</v>
      </c>
    </row>
    <row r="29" spans="1:4" ht="15.75" thickBot="1">
      <c r="A29" s="15" t="s">
        <v>69</v>
      </c>
      <c r="B29" s="15" t="s">
        <v>70</v>
      </c>
      <c r="C29" s="43"/>
      <c r="D29" s="43"/>
    </row>
    <row r="30" spans="1:4" ht="15.75" thickBot="1">
      <c r="A30" s="15" t="s">
        <v>71</v>
      </c>
      <c r="B30" s="15" t="s">
        <v>72</v>
      </c>
      <c r="C30" s="43"/>
      <c r="D30" s="43"/>
    </row>
    <row r="31" spans="1:4" ht="15.75" thickBot="1">
      <c r="A31" s="15"/>
      <c r="B31" s="15" t="s">
        <v>73</v>
      </c>
      <c r="C31" s="43"/>
      <c r="D31" s="43"/>
    </row>
    <row r="32" spans="1:4" ht="15.75" thickBot="1">
      <c r="A32" s="15"/>
      <c r="B32" s="15" t="s">
        <v>74</v>
      </c>
      <c r="C32" s="43">
        <v>199925777.40000004</v>
      </c>
      <c r="D32" s="43">
        <v>232693003.48</v>
      </c>
    </row>
    <row r="33" spans="1:4" ht="15.75" thickBot="1">
      <c r="A33" s="15" t="s">
        <v>75</v>
      </c>
      <c r="B33" s="15" t="s">
        <v>76</v>
      </c>
      <c r="C33" s="43"/>
      <c r="D33" s="43">
        <v>-119382952.93</v>
      </c>
    </row>
    <row r="34" spans="1:4" ht="15.75" thickBot="1">
      <c r="A34" s="15"/>
      <c r="B34" s="15" t="s">
        <v>77</v>
      </c>
      <c r="C34" s="43"/>
      <c r="D34" s="43"/>
    </row>
    <row r="35" spans="1:4" ht="15.75" thickBot="1">
      <c r="A35" s="15" t="s">
        <v>78</v>
      </c>
      <c r="B35" s="15" t="s">
        <v>79</v>
      </c>
      <c r="C35" s="43"/>
      <c r="D35" s="43"/>
    </row>
    <row r="36" spans="1:4" ht="15.75" thickBot="1">
      <c r="A36" s="15" t="s">
        <v>80</v>
      </c>
      <c r="B36" s="15" t="s">
        <v>81</v>
      </c>
      <c r="C36" s="43">
        <v>709202648.96</v>
      </c>
      <c r="D36" s="43">
        <v>705489455.57</v>
      </c>
    </row>
    <row r="37" spans="1:4" ht="15.75" thickBot="1">
      <c r="A37" s="13" t="s">
        <v>5</v>
      </c>
      <c r="B37" s="13" t="s">
        <v>82</v>
      </c>
      <c r="C37" s="42">
        <f>SUM(C38:C39,C44:C48)</f>
        <v>1300481250.9399998</v>
      </c>
      <c r="D37" s="42">
        <f>SUM(D38:D39,D44:D48)</f>
        <v>1311171795.2299998</v>
      </c>
    </row>
    <row r="38" spans="1:4" ht="15.75" thickBot="1">
      <c r="A38" s="15" t="s">
        <v>86</v>
      </c>
      <c r="B38" s="15" t="s">
        <v>83</v>
      </c>
      <c r="C38" s="43">
        <v>336737642.31</v>
      </c>
      <c r="D38" s="43">
        <v>300693508.14</v>
      </c>
    </row>
    <row r="39" spans="1:4" ht="15.75" thickBot="1">
      <c r="A39" s="15"/>
      <c r="B39" s="15" t="s">
        <v>88</v>
      </c>
      <c r="C39" s="43">
        <f>SUM(C40:C43)</f>
        <v>598264655.05</v>
      </c>
      <c r="D39" s="43">
        <f>SUM(D40:D43)</f>
        <v>600254159.62</v>
      </c>
    </row>
    <row r="40" spans="1:4" ht="15.75" thickBot="1">
      <c r="A40" s="15" t="s">
        <v>89</v>
      </c>
      <c r="B40" s="15" t="s">
        <v>90</v>
      </c>
      <c r="C40" s="43">
        <v>500000000</v>
      </c>
      <c r="D40" s="43">
        <v>500000000</v>
      </c>
    </row>
    <row r="41" spans="1:4" ht="15.75" thickBot="1">
      <c r="A41" s="15" t="s">
        <v>91</v>
      </c>
      <c r="B41" s="15" t="s">
        <v>92</v>
      </c>
      <c r="C41" s="43"/>
      <c r="D41" s="43"/>
    </row>
    <row r="42" spans="1:4" ht="15.75" thickBot="1">
      <c r="A42" s="15" t="s">
        <v>93</v>
      </c>
      <c r="B42" s="15" t="s">
        <v>94</v>
      </c>
      <c r="C42" s="43"/>
      <c r="D42" s="43"/>
    </row>
    <row r="43" spans="1:4" ht="18" customHeight="1" thickBot="1">
      <c r="A43" s="15" t="s">
        <v>95</v>
      </c>
      <c r="B43" s="15" t="s">
        <v>96</v>
      </c>
      <c r="C43" s="43">
        <v>98264655.05</v>
      </c>
      <c r="D43" s="43">
        <v>100254159.62</v>
      </c>
    </row>
    <row r="44" spans="1:4" ht="15.75" thickBot="1">
      <c r="A44" s="15" t="s">
        <v>97</v>
      </c>
      <c r="B44" s="15" t="s">
        <v>98</v>
      </c>
      <c r="C44" s="43">
        <v>336714285.76</v>
      </c>
      <c r="D44" s="43">
        <v>379857142.9</v>
      </c>
    </row>
    <row r="45" spans="1:4" ht="15.75" thickBot="1">
      <c r="A45" s="15" t="s">
        <v>99</v>
      </c>
      <c r="B45" s="15" t="s">
        <v>100</v>
      </c>
      <c r="C45" s="43">
        <v>1777450.25</v>
      </c>
      <c r="D45" s="43">
        <v>1768144</v>
      </c>
    </row>
    <row r="46" spans="1:4" ht="15.75" thickBot="1">
      <c r="A46" s="15" t="s">
        <v>101</v>
      </c>
      <c r="B46" s="15" t="s">
        <v>102</v>
      </c>
      <c r="C46" s="43">
        <v>26987217.57</v>
      </c>
      <c r="D46" s="43">
        <v>28598840.57</v>
      </c>
    </row>
    <row r="47" spans="1:4" ht="15.75" thickBot="1">
      <c r="A47" s="15" t="s">
        <v>103</v>
      </c>
      <c r="B47" s="15" t="s">
        <v>104</v>
      </c>
      <c r="C47" s="43"/>
      <c r="D47" s="43"/>
    </row>
    <row r="48" spans="1:4" ht="15.75" thickBot="1">
      <c r="A48" s="15" t="s">
        <v>105</v>
      </c>
      <c r="B48" s="15" t="s">
        <v>106</v>
      </c>
      <c r="C48" s="43"/>
      <c r="D48" s="43"/>
    </row>
    <row r="49" spans="1:4" ht="15.75" thickBot="1">
      <c r="A49" s="13" t="s">
        <v>5</v>
      </c>
      <c r="B49" s="13" t="s">
        <v>107</v>
      </c>
      <c r="C49" s="42">
        <f>SUM(C50:C52,C57:C58,C61:C62)</f>
        <v>407717293.76</v>
      </c>
      <c r="D49" s="42">
        <f>SUM(D50:D52,D57:D58,D61:D62)</f>
        <v>427587927.88</v>
      </c>
    </row>
    <row r="50" spans="1:4" ht="15.75" thickBot="1">
      <c r="A50" s="15" t="s">
        <v>108</v>
      </c>
      <c r="B50" s="15" t="s">
        <v>109</v>
      </c>
      <c r="C50" s="43"/>
      <c r="D50" s="43"/>
    </row>
    <row r="51" spans="1:4" ht="15.75" thickBot="1">
      <c r="A51" s="15" t="s">
        <v>111</v>
      </c>
      <c r="B51" s="15" t="s">
        <v>110</v>
      </c>
      <c r="C51" s="43">
        <v>94089827.94</v>
      </c>
      <c r="D51" s="43">
        <v>90888334.17</v>
      </c>
    </row>
    <row r="52" spans="1:4" ht="15.75" thickBot="1">
      <c r="A52" s="15"/>
      <c r="B52" s="15" t="s">
        <v>112</v>
      </c>
      <c r="C52" s="43">
        <f>SUM(C53:C56)</f>
        <v>59813792.31</v>
      </c>
      <c r="D52" s="43">
        <f>SUM(D53:D56)</f>
        <v>89270689.47</v>
      </c>
    </row>
    <row r="53" spans="1:4" ht="15.75" thickBot="1">
      <c r="A53" s="15" t="s">
        <v>113</v>
      </c>
      <c r="B53" s="15" t="s">
        <v>90</v>
      </c>
      <c r="C53" s="43">
        <v>4993972.6</v>
      </c>
      <c r="D53" s="43">
        <v>7114754.1</v>
      </c>
    </row>
    <row r="54" spans="1:4" ht="15.75" thickBot="1">
      <c r="A54" s="15" t="s">
        <v>114</v>
      </c>
      <c r="B54" s="15" t="s">
        <v>92</v>
      </c>
      <c r="C54" s="43"/>
      <c r="D54" s="43"/>
    </row>
    <row r="55" spans="1:4" ht="15.75" thickBot="1">
      <c r="A55" s="15" t="s">
        <v>115</v>
      </c>
      <c r="B55" s="15" t="s">
        <v>94</v>
      </c>
      <c r="C55" s="43"/>
      <c r="D55" s="43"/>
    </row>
    <row r="56" spans="1:4" ht="42" customHeight="1" thickBot="1">
      <c r="A56" s="15" t="s">
        <v>116</v>
      </c>
      <c r="B56" s="15" t="s">
        <v>117</v>
      </c>
      <c r="C56" s="43">
        <v>54819819.71</v>
      </c>
      <c r="D56" s="43">
        <v>82155935.37</v>
      </c>
    </row>
    <row r="57" spans="1:4" ht="31.5" customHeight="1" thickBot="1">
      <c r="A57" s="15" t="s">
        <v>118</v>
      </c>
      <c r="B57" s="15" t="s">
        <v>119</v>
      </c>
      <c r="C57" s="43">
        <v>98578428.13000001</v>
      </c>
      <c r="D57" s="43">
        <v>117761415.67</v>
      </c>
    </row>
    <row r="58" spans="1:4" ht="15.75" thickBot="1">
      <c r="A58" s="15"/>
      <c r="B58" s="15" t="s">
        <v>120</v>
      </c>
      <c r="C58" s="43">
        <f>SUM(C59:C60)</f>
        <v>150309942.70999998</v>
      </c>
      <c r="D58" s="43">
        <f>SUM(D59:D60)</f>
        <v>125000145.01999998</v>
      </c>
    </row>
    <row r="59" spans="1:4" ht="15.75" thickBot="1">
      <c r="A59" s="15" t="s">
        <v>121</v>
      </c>
      <c r="B59" s="15" t="s">
        <v>122</v>
      </c>
      <c r="C59" s="43">
        <v>23579521.97</v>
      </c>
      <c r="D59" s="43">
        <v>26685188.490000002</v>
      </c>
    </row>
    <row r="60" spans="1:4" ht="15.75" thickBot="1">
      <c r="A60" s="15" t="s">
        <v>123</v>
      </c>
      <c r="B60" s="15" t="s">
        <v>124</v>
      </c>
      <c r="C60" s="43">
        <v>126730420.74</v>
      </c>
      <c r="D60" s="43">
        <v>98314956.52999999</v>
      </c>
    </row>
    <row r="61" spans="1:4" ht="15.75" thickBot="1">
      <c r="A61" s="15" t="s">
        <v>125</v>
      </c>
      <c r="B61" s="15" t="s">
        <v>126</v>
      </c>
      <c r="C61" s="43">
        <v>4925302.67</v>
      </c>
      <c r="D61" s="43">
        <v>4667343.55</v>
      </c>
    </row>
    <row r="62" spans="1:4" ht="15.75" thickBot="1">
      <c r="A62" s="15" t="s">
        <v>127</v>
      </c>
      <c r="B62" s="15" t="s">
        <v>128</v>
      </c>
      <c r="C62" s="43"/>
      <c r="D62" s="43"/>
    </row>
    <row r="63" spans="1:4" ht="23.25" customHeight="1" thickBot="1">
      <c r="A63" s="17"/>
      <c r="B63" s="17" t="s">
        <v>129</v>
      </c>
      <c r="C63" s="44">
        <f>C24+C37+C49</f>
        <v>5052591447.940001</v>
      </c>
      <c r="D63" s="44">
        <f>D24+D37+D49</f>
        <v>4911381154.89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0</v>
      </c>
      <c r="D4" s="14">
        <v>0</v>
      </c>
    </row>
    <row r="5" spans="1:4" ht="34.5" thickBot="1">
      <c r="A5" s="15" t="s">
        <v>147</v>
      </c>
      <c r="B5" s="15" t="s">
        <v>11</v>
      </c>
      <c r="C5" s="16"/>
      <c r="D5" s="16"/>
    </row>
    <row r="6" spans="1:4" ht="45.75" thickBot="1">
      <c r="A6" s="15" t="s">
        <v>148</v>
      </c>
      <c r="B6" s="15" t="s">
        <v>19</v>
      </c>
      <c r="C6" s="16"/>
      <c r="D6" s="16"/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>
        <v>0</v>
      </c>
      <c r="D8" s="16">
        <v>0</v>
      </c>
    </row>
    <row r="9" spans="1:4" ht="35.25" customHeight="1" thickBot="1">
      <c r="A9" s="15" t="s">
        <v>30</v>
      </c>
      <c r="B9" s="15" t="s">
        <v>31</v>
      </c>
      <c r="C9" s="16"/>
      <c r="D9" s="16"/>
    </row>
    <row r="10" spans="1:4" ht="15.75" thickBot="1">
      <c r="A10" s="15"/>
      <c r="B10" s="15" t="s">
        <v>32</v>
      </c>
      <c r="C10" s="16"/>
      <c r="D10" s="16"/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224.60942</v>
      </c>
      <c r="D12" s="14">
        <v>224.87542000000002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/>
      <c r="D14" s="16"/>
    </row>
    <row r="15" spans="1:4" ht="15.75" thickBot="1">
      <c r="A15" s="15"/>
      <c r="B15" s="15" t="s">
        <v>48</v>
      </c>
      <c r="C15" s="16">
        <f>SUM(C16:C18)</f>
        <v>201.14312999999999</v>
      </c>
      <c r="D15" s="16">
        <v>201.84189</v>
      </c>
    </row>
    <row r="16" spans="1:4" ht="24" customHeight="1" thickBot="1">
      <c r="A16" s="15" t="s">
        <v>49</v>
      </c>
      <c r="B16" s="15" t="s">
        <v>50</v>
      </c>
      <c r="C16" s="16">
        <v>200.92977</v>
      </c>
      <c r="D16" s="16">
        <v>200.18062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0.21336000000000002</v>
      </c>
      <c r="D18" s="16">
        <v>1.66127</v>
      </c>
    </row>
    <row r="19" spans="1:4" ht="46.5" customHeight="1" thickBot="1">
      <c r="A19" s="15" t="s">
        <v>54</v>
      </c>
      <c r="B19" s="15" t="s">
        <v>55</v>
      </c>
      <c r="C19" s="16">
        <v>0</v>
      </c>
      <c r="D19" s="16">
        <v>4.64543</v>
      </c>
    </row>
    <row r="20" spans="1:4" ht="52.5" customHeight="1" thickBot="1">
      <c r="A20" s="15" t="s">
        <v>56</v>
      </c>
      <c r="B20" s="15" t="s">
        <v>57</v>
      </c>
      <c r="C20" s="16"/>
      <c r="D20" s="16"/>
    </row>
    <row r="21" spans="1:4" ht="15.75" thickBot="1">
      <c r="A21" s="15" t="s">
        <v>58</v>
      </c>
      <c r="B21" s="15" t="s">
        <v>59</v>
      </c>
      <c r="C21" s="16"/>
      <c r="D21" s="16"/>
    </row>
    <row r="22" spans="1:4" ht="15.75" thickBot="1">
      <c r="A22" s="15"/>
      <c r="B22" s="15" t="s">
        <v>60</v>
      </c>
      <c r="C22" s="16">
        <v>23.46629</v>
      </c>
      <c r="D22" s="16">
        <v>18.388099999999998</v>
      </c>
    </row>
    <row r="23" spans="1:4" ht="25.5" customHeight="1" thickBot="1">
      <c r="A23" s="17"/>
      <c r="B23" s="17" t="s">
        <v>61</v>
      </c>
      <c r="C23" s="18">
        <f>C4+C12</f>
        <v>224.60942</v>
      </c>
      <c r="D23" s="18">
        <v>224.87542000000002</v>
      </c>
    </row>
    <row r="24" spans="1:4" ht="15.75" thickBot="1">
      <c r="A24" s="13" t="s">
        <v>5</v>
      </c>
      <c r="B24" s="13" t="s">
        <v>62</v>
      </c>
      <c r="C24" s="14">
        <f>C25+C35+C36</f>
        <v>223.87542</v>
      </c>
      <c r="D24" s="14">
        <v>223.87542</v>
      </c>
    </row>
    <row r="25" spans="1:4" ht="15.75" thickBot="1">
      <c r="A25" s="15"/>
      <c r="B25" s="15" t="s">
        <v>63</v>
      </c>
      <c r="C25" s="16">
        <f>SUM(C26:C34)</f>
        <v>223.87542</v>
      </c>
      <c r="D25" s="16">
        <v>223.87542</v>
      </c>
    </row>
    <row r="26" spans="1:4" ht="15.75" thickBot="1">
      <c r="A26" s="15" t="s">
        <v>64</v>
      </c>
      <c r="B26" s="15" t="s">
        <v>65</v>
      </c>
      <c r="C26" s="16">
        <v>4</v>
      </c>
      <c r="D26" s="16">
        <v>4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189.17676999999998</v>
      </c>
      <c r="D28" s="16">
        <v>189.17676999999998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>
        <v>30.698650000000008</v>
      </c>
      <c r="D30" s="16">
        <v>30.698650000000008</v>
      </c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>
        <v>-2.2759572004815708E-17</v>
      </c>
      <c r="D32" s="16">
        <v>0</v>
      </c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0</v>
      </c>
      <c r="D37" s="14">
        <v>0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v>0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0.734</v>
      </c>
      <c r="D49" s="14">
        <v>1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0</v>
      </c>
      <c r="D52" s="16">
        <v>0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/>
      <c r="D56" s="16"/>
    </row>
    <row r="57" spans="1:4" ht="31.5" customHeight="1" thickBot="1">
      <c r="A57" s="15" t="s">
        <v>118</v>
      </c>
      <c r="B57" s="15" t="s">
        <v>119</v>
      </c>
      <c r="C57" s="16"/>
      <c r="D57" s="16"/>
    </row>
    <row r="58" spans="1:4" ht="15.75" thickBot="1">
      <c r="A58" s="15"/>
      <c r="B58" s="15" t="s">
        <v>120</v>
      </c>
      <c r="C58" s="16">
        <f>SUM(C59:C60)</f>
        <v>0.734</v>
      </c>
      <c r="D58" s="16">
        <v>1</v>
      </c>
    </row>
    <row r="59" spans="1:4" ht="15.75" thickBot="1">
      <c r="A59" s="15" t="s">
        <v>121</v>
      </c>
      <c r="B59" s="15" t="s">
        <v>122</v>
      </c>
      <c r="C59" s="16">
        <v>0</v>
      </c>
      <c r="D59" s="16">
        <v>0</v>
      </c>
    </row>
    <row r="60" spans="1:4" ht="15.75" thickBot="1">
      <c r="A60" s="15" t="s">
        <v>123</v>
      </c>
      <c r="B60" s="15" t="s">
        <v>124</v>
      </c>
      <c r="C60" s="16">
        <v>0.734</v>
      </c>
      <c r="D60" s="16">
        <v>1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224.60942</v>
      </c>
      <c r="D63" s="18">
        <v>224.87542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0</v>
      </c>
      <c r="D4" s="14">
        <v>0</v>
      </c>
    </row>
    <row r="5" spans="1:4" ht="34.5" thickBot="1">
      <c r="A5" s="15" t="s">
        <v>147</v>
      </c>
      <c r="B5" s="15" t="s">
        <v>11</v>
      </c>
      <c r="C5" s="16"/>
      <c r="D5" s="16"/>
    </row>
    <row r="6" spans="1:4" ht="45.75" thickBot="1">
      <c r="A6" s="15" t="s">
        <v>148</v>
      </c>
      <c r="B6" s="15" t="s">
        <v>19</v>
      </c>
      <c r="C6" s="16"/>
      <c r="D6" s="16"/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/>
      <c r="D8" s="16"/>
    </row>
    <row r="9" spans="1:4" ht="35.25" customHeight="1" thickBot="1">
      <c r="A9" s="15" t="s">
        <v>30</v>
      </c>
      <c r="B9" s="15" t="s">
        <v>31</v>
      </c>
      <c r="C9" s="16"/>
      <c r="D9" s="16"/>
    </row>
    <row r="10" spans="1:4" ht="15.75" thickBot="1">
      <c r="A10" s="15"/>
      <c r="B10" s="15" t="s">
        <v>32</v>
      </c>
      <c r="C10" s="16"/>
      <c r="D10" s="16"/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25.239620000000002</v>
      </c>
      <c r="D12" s="14">
        <v>25.5162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/>
      <c r="D14" s="16"/>
    </row>
    <row r="15" spans="1:4" ht="15.75" thickBot="1">
      <c r="A15" s="15"/>
      <c r="B15" s="15" t="s">
        <v>48</v>
      </c>
      <c r="C15" s="16">
        <f>SUM(C16:C18)</f>
        <v>2.06304</v>
      </c>
      <c r="D15" s="16">
        <v>1.09968</v>
      </c>
    </row>
    <row r="16" spans="1:4" ht="24" customHeight="1" thickBot="1">
      <c r="A16" s="15" t="s">
        <v>49</v>
      </c>
      <c r="B16" s="15" t="s">
        <v>50</v>
      </c>
      <c r="C16" s="16">
        <v>1.84968</v>
      </c>
      <c r="D16" s="16">
        <v>1.09968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0.21336000000000002</v>
      </c>
      <c r="D18" s="16">
        <v>0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/>
      <c r="D20" s="16"/>
    </row>
    <row r="21" spans="1:4" ht="15.75" thickBot="1">
      <c r="A21" s="15" t="s">
        <v>58</v>
      </c>
      <c r="B21" s="15" t="s">
        <v>59</v>
      </c>
      <c r="C21" s="16"/>
      <c r="D21" s="16"/>
    </row>
    <row r="22" spans="1:4" ht="15.75" thickBot="1">
      <c r="A22" s="15"/>
      <c r="B22" s="15" t="s">
        <v>60</v>
      </c>
      <c r="C22" s="16">
        <v>23.17658</v>
      </c>
      <c r="D22" s="16">
        <v>24.416520000000002</v>
      </c>
    </row>
    <row r="23" spans="1:4" ht="25.5" customHeight="1" thickBot="1">
      <c r="A23" s="17"/>
      <c r="B23" s="17" t="s">
        <v>61</v>
      </c>
      <c r="C23" s="18">
        <f>C4+C12</f>
        <v>25.239620000000002</v>
      </c>
      <c r="D23" s="18">
        <v>25.5162</v>
      </c>
    </row>
    <row r="24" spans="1:4" ht="15.75" thickBot="1">
      <c r="A24" s="13" t="s">
        <v>5</v>
      </c>
      <c r="B24" s="13" t="s">
        <v>62</v>
      </c>
      <c r="C24" s="14">
        <f>C25+C35+C36</f>
        <v>24.50562</v>
      </c>
      <c r="D24" s="14">
        <v>24.50562</v>
      </c>
    </row>
    <row r="25" spans="1:4" ht="15.75" thickBot="1">
      <c r="A25" s="15"/>
      <c r="B25" s="15" t="s">
        <v>63</v>
      </c>
      <c r="C25" s="16">
        <f>SUM(C26:C34)</f>
        <v>24.50562</v>
      </c>
      <c r="D25" s="16">
        <v>24.50562</v>
      </c>
    </row>
    <row r="26" spans="1:4" ht="15.75" thickBot="1">
      <c r="A26" s="15" t="s">
        <v>64</v>
      </c>
      <c r="B26" s="15" t="s">
        <v>65</v>
      </c>
      <c r="C26" s="16">
        <v>4</v>
      </c>
      <c r="D26" s="16">
        <v>4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23.61502</v>
      </c>
      <c r="D28" s="16">
        <v>23.61502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>
        <v>-3.1094</v>
      </c>
      <c r="D30" s="16">
        <v>-3.1094</v>
      </c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/>
      <c r="D32" s="16"/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0</v>
      </c>
      <c r="D37" s="14">
        <v>0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v>0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0.734</v>
      </c>
      <c r="D49" s="14">
        <v>1.01058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0</v>
      </c>
      <c r="D52" s="16">
        <v>0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/>
      <c r="D56" s="16"/>
    </row>
    <row r="57" spans="1:4" ht="31.5" customHeight="1" thickBot="1">
      <c r="A57" s="15" t="s">
        <v>118</v>
      </c>
      <c r="B57" s="15" t="s">
        <v>119</v>
      </c>
      <c r="C57" s="16"/>
      <c r="D57" s="16"/>
    </row>
    <row r="58" spans="1:4" ht="15.75" thickBot="1">
      <c r="A58" s="15"/>
      <c r="B58" s="15" t="s">
        <v>120</v>
      </c>
      <c r="C58" s="16">
        <f>SUM(C59:C60)</f>
        <v>0.734</v>
      </c>
      <c r="D58" s="16">
        <v>1.01058</v>
      </c>
    </row>
    <row r="59" spans="1:4" ht="15.75" thickBot="1">
      <c r="A59" s="15" t="s">
        <v>121</v>
      </c>
      <c r="B59" s="15" t="s">
        <v>122</v>
      </c>
      <c r="C59" s="16"/>
      <c r="D59" s="16"/>
    </row>
    <row r="60" spans="1:4" ht="15.75" thickBot="1">
      <c r="A60" s="15" t="s">
        <v>123</v>
      </c>
      <c r="B60" s="15" t="s">
        <v>124</v>
      </c>
      <c r="C60" s="16">
        <v>0.734</v>
      </c>
      <c r="D60" s="16">
        <v>1.01058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25.239620000000002</v>
      </c>
      <c r="D63" s="18">
        <v>25.5162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0</v>
      </c>
      <c r="D4" s="14">
        <v>0</v>
      </c>
    </row>
    <row r="5" spans="1:4" ht="34.5" thickBot="1">
      <c r="A5" s="15" t="s">
        <v>147</v>
      </c>
      <c r="B5" s="15" t="s">
        <v>11</v>
      </c>
      <c r="C5" s="16"/>
      <c r="D5" s="16"/>
    </row>
    <row r="6" spans="1:4" ht="45.75" thickBot="1">
      <c r="A6" s="15" t="s">
        <v>148</v>
      </c>
      <c r="B6" s="15" t="s">
        <v>19</v>
      </c>
      <c r="C6" s="16"/>
      <c r="D6" s="16"/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/>
      <c r="D8" s="16"/>
    </row>
    <row r="9" spans="1:4" ht="35.25" customHeight="1" thickBot="1">
      <c r="A9" s="15" t="s">
        <v>30</v>
      </c>
      <c r="B9" s="15" t="s">
        <v>31</v>
      </c>
      <c r="C9" s="16"/>
      <c r="D9" s="16"/>
    </row>
    <row r="10" spans="1:4" ht="15.75" thickBot="1">
      <c r="A10" s="15"/>
      <c r="B10" s="15" t="s">
        <v>32</v>
      </c>
      <c r="C10" s="16"/>
      <c r="D10" s="16"/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6.2546800000000005</v>
      </c>
      <c r="D12" s="14">
        <v>6.5312600000000005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/>
      <c r="D14" s="16"/>
    </row>
    <row r="15" spans="1:4" ht="15.75" thickBot="1">
      <c r="A15" s="15"/>
      <c r="B15" s="15" t="s">
        <v>48</v>
      </c>
      <c r="C15" s="16">
        <f>SUM(C16:C18)</f>
        <v>2.06304</v>
      </c>
      <c r="D15" s="16">
        <v>1.09968</v>
      </c>
    </row>
    <row r="16" spans="1:4" ht="24" customHeight="1" thickBot="1">
      <c r="A16" s="15" t="s">
        <v>49</v>
      </c>
      <c r="B16" s="15" t="s">
        <v>50</v>
      </c>
      <c r="C16" s="16">
        <v>1.84968</v>
      </c>
      <c r="D16" s="16">
        <v>1.09968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0.21336000000000002</v>
      </c>
      <c r="D18" s="16">
        <v>0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/>
      <c r="D20" s="16"/>
    </row>
    <row r="21" spans="1:4" ht="15.75" thickBot="1">
      <c r="A21" s="15" t="s">
        <v>58</v>
      </c>
      <c r="B21" s="15" t="s">
        <v>59</v>
      </c>
      <c r="C21" s="16"/>
      <c r="D21" s="16"/>
    </row>
    <row r="22" spans="1:4" ht="15.75" thickBot="1">
      <c r="A22" s="15"/>
      <c r="B22" s="15" t="s">
        <v>60</v>
      </c>
      <c r="C22" s="16">
        <v>4.1916400000000005</v>
      </c>
      <c r="D22" s="16">
        <v>5.43158</v>
      </c>
    </row>
    <row r="23" spans="1:4" ht="25.5" customHeight="1" thickBot="1">
      <c r="A23" s="17"/>
      <c r="B23" s="17" t="s">
        <v>61</v>
      </c>
      <c r="C23" s="18">
        <f>C4+C12</f>
        <v>6.2546800000000005</v>
      </c>
      <c r="D23" s="18">
        <v>6.5312600000000005</v>
      </c>
    </row>
    <row r="24" spans="1:4" ht="15.75" thickBot="1">
      <c r="A24" s="13" t="s">
        <v>5</v>
      </c>
      <c r="B24" s="13" t="s">
        <v>62</v>
      </c>
      <c r="C24" s="14">
        <f>C25+C35+C36</f>
        <v>5.52068</v>
      </c>
      <c r="D24" s="14">
        <v>5.52068</v>
      </c>
    </row>
    <row r="25" spans="1:4" ht="15.75" thickBot="1">
      <c r="A25" s="15"/>
      <c r="B25" s="15" t="s">
        <v>63</v>
      </c>
      <c r="C25" s="16">
        <f>SUM(C26:C34)</f>
        <v>5.52068</v>
      </c>
      <c r="D25" s="16">
        <v>5.52068</v>
      </c>
    </row>
    <row r="26" spans="1:4" ht="15.75" thickBot="1">
      <c r="A26" s="15" t="s">
        <v>64</v>
      </c>
      <c r="B26" s="15" t="s">
        <v>65</v>
      </c>
      <c r="C26" s="16">
        <v>4</v>
      </c>
      <c r="D26" s="16">
        <v>4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-6.69024</v>
      </c>
      <c r="D28" s="16">
        <v>-6.69024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>
        <v>8.21092</v>
      </c>
      <c r="D30" s="16">
        <v>8.21092</v>
      </c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/>
      <c r="D32" s="16"/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0</v>
      </c>
      <c r="D37" s="14">
        <v>0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v>0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0.734</v>
      </c>
      <c r="D49" s="14">
        <v>1.01058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0</v>
      </c>
      <c r="D52" s="16">
        <v>0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/>
      <c r="D56" s="16"/>
    </row>
    <row r="57" spans="1:4" ht="31.5" customHeight="1" thickBot="1">
      <c r="A57" s="15" t="s">
        <v>118</v>
      </c>
      <c r="B57" s="15" t="s">
        <v>119</v>
      </c>
      <c r="C57" s="16"/>
      <c r="D57" s="16"/>
    </row>
    <row r="58" spans="1:4" ht="15.75" thickBot="1">
      <c r="A58" s="15"/>
      <c r="B58" s="15" t="s">
        <v>120</v>
      </c>
      <c r="C58" s="16">
        <f>SUM(C59:C60)</f>
        <v>0.734</v>
      </c>
      <c r="D58" s="16">
        <v>1.01058</v>
      </c>
    </row>
    <row r="59" spans="1:4" ht="15.75" thickBot="1">
      <c r="A59" s="15" t="s">
        <v>121</v>
      </c>
      <c r="B59" s="15" t="s">
        <v>122</v>
      </c>
      <c r="C59" s="16"/>
      <c r="D59" s="16"/>
    </row>
    <row r="60" spans="1:4" ht="15.75" thickBot="1">
      <c r="A60" s="15" t="s">
        <v>123</v>
      </c>
      <c r="B60" s="15" t="s">
        <v>124</v>
      </c>
      <c r="C60" s="16">
        <v>0.734</v>
      </c>
      <c r="D60" s="16">
        <v>1.01058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6.25468</v>
      </c>
      <c r="D63" s="18">
        <v>6.53126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2488</v>
      </c>
      <c r="D7" s="36">
        <f>+D8+D13+D17+D20+D21+D22+D23</f>
        <v>2318</v>
      </c>
    </row>
    <row r="8" spans="1:4" ht="15">
      <c r="A8" s="37"/>
      <c r="B8" s="37" t="s">
        <v>11</v>
      </c>
      <c r="C8" s="38">
        <f>+C9+C10+C11+C12</f>
        <v>0</v>
      </c>
      <c r="D8" s="38">
        <f>+D9+D10+D11+D12</f>
        <v>0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0</v>
      </c>
      <c r="D10" s="39">
        <v>0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0</v>
      </c>
      <c r="D12" s="39">
        <v>0</v>
      </c>
    </row>
    <row r="13" spans="1:4" ht="15">
      <c r="A13" s="37"/>
      <c r="B13" s="37" t="s">
        <v>19</v>
      </c>
      <c r="C13" s="38">
        <f>+C14+C15+C16</f>
        <v>1577</v>
      </c>
      <c r="D13" s="38">
        <f>+D14+D15+D16</f>
        <v>1593</v>
      </c>
    </row>
    <row r="14" spans="1:4" ht="15">
      <c r="A14" s="37" t="s">
        <v>20</v>
      </c>
      <c r="B14" s="37" t="s">
        <v>159</v>
      </c>
      <c r="C14" s="39">
        <v>1096</v>
      </c>
      <c r="D14" s="39">
        <v>1096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481</v>
      </c>
      <c r="D16" s="39">
        <v>497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911</v>
      </c>
      <c r="D21" s="39">
        <v>725</v>
      </c>
    </row>
    <row r="22" spans="1:4" ht="15">
      <c r="A22" s="37"/>
      <c r="B22" s="37" t="s">
        <v>32</v>
      </c>
      <c r="C22" s="39">
        <v>0</v>
      </c>
      <c r="D22" s="39">
        <v>0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2548</v>
      </c>
      <c r="D24" s="36">
        <f>+D25+D31+D34+D38+D39+D40+D41</f>
        <v>2464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0</v>
      </c>
      <c r="D31" s="38">
        <f>+D32+D33</f>
        <v>0</v>
      </c>
    </row>
    <row r="32" spans="1:4" ht="15">
      <c r="A32" s="37" t="s">
        <v>46</v>
      </c>
      <c r="B32" s="37" t="s">
        <v>168</v>
      </c>
      <c r="C32" s="39">
        <v>0</v>
      </c>
      <c r="D32" s="39">
        <v>0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3</v>
      </c>
      <c r="D34" s="38">
        <f>+D35+D36+D37</f>
        <v>1540</v>
      </c>
    </row>
    <row r="35" spans="1:4" ht="24">
      <c r="A35" s="37" t="s">
        <v>169</v>
      </c>
      <c r="B35" s="37" t="s">
        <v>170</v>
      </c>
      <c r="C35" s="39">
        <v>0</v>
      </c>
      <c r="D35" s="39">
        <v>0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3</v>
      </c>
      <c r="D37" s="39">
        <v>1540</v>
      </c>
    </row>
    <row r="38" spans="1:4" ht="24">
      <c r="A38" s="37" t="s">
        <v>54</v>
      </c>
      <c r="B38" s="37" t="s">
        <v>55</v>
      </c>
      <c r="C38" s="39">
        <v>0</v>
      </c>
      <c r="D38" s="39">
        <v>0</v>
      </c>
    </row>
    <row r="39" spans="1:4" ht="24">
      <c r="A39" s="37" t="s">
        <v>56</v>
      </c>
      <c r="B39" s="37" t="s">
        <v>57</v>
      </c>
      <c r="C39" s="39">
        <v>18</v>
      </c>
      <c r="D39" s="39">
        <v>18</v>
      </c>
    </row>
    <row r="40" spans="1:4" ht="15">
      <c r="A40" s="37" t="s">
        <v>58</v>
      </c>
      <c r="B40" s="37" t="s">
        <v>59</v>
      </c>
      <c r="C40" s="39">
        <v>9</v>
      </c>
      <c r="D40" s="39">
        <v>9</v>
      </c>
    </row>
    <row r="41" spans="1:4" ht="15">
      <c r="A41" s="37"/>
      <c r="B41" s="37" t="s">
        <v>60</v>
      </c>
      <c r="C41" s="39">
        <v>2518</v>
      </c>
      <c r="D41" s="39">
        <v>897</v>
      </c>
    </row>
    <row r="42" spans="1:4" ht="15">
      <c r="A42" s="40"/>
      <c r="B42" s="41" t="s">
        <v>61</v>
      </c>
      <c r="C42" s="36">
        <f>+C7+C24</f>
        <v>5036</v>
      </c>
      <c r="D42" s="36">
        <f>+D7+D24</f>
        <v>4782</v>
      </c>
    </row>
    <row r="43" spans="1:4" ht="15">
      <c r="A43" s="35"/>
      <c r="B43" s="35" t="s">
        <v>173</v>
      </c>
      <c r="C43" s="36">
        <f>+C44+C54+C55</f>
        <v>3322</v>
      </c>
      <c r="D43" s="36">
        <f>+D44+D54+D55</f>
        <v>3014</v>
      </c>
    </row>
    <row r="44" spans="1:4" ht="15">
      <c r="A44" s="37"/>
      <c r="B44" s="37" t="s">
        <v>63</v>
      </c>
      <c r="C44" s="38">
        <v>3263</v>
      </c>
      <c r="D44" s="38">
        <f>+D45+D46+D47+D48+D49+D50+D51+D52+D53</f>
        <v>2949</v>
      </c>
    </row>
    <row r="45" spans="1:4" ht="24">
      <c r="A45" s="37" t="s">
        <v>174</v>
      </c>
      <c r="B45" s="37" t="s">
        <v>175</v>
      </c>
      <c r="C45" s="39">
        <v>13310</v>
      </c>
      <c r="D45" s="39">
        <v>13673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v>0</v>
      </c>
      <c r="D47" s="39">
        <v>0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v>-5749</v>
      </c>
      <c r="D49" s="39">
        <v>-4975</v>
      </c>
    </row>
    <row r="50" spans="1:4" ht="15">
      <c r="A50" s="37"/>
      <c r="B50" s="37" t="s">
        <v>181</v>
      </c>
      <c r="C50" s="39">
        <v>0</v>
      </c>
      <c r="D50" s="39">
        <v>0</v>
      </c>
    </row>
    <row r="51" spans="1:4" ht="15">
      <c r="A51" s="37"/>
      <c r="B51" s="37" t="s">
        <v>182</v>
      </c>
      <c r="C51" s="39">
        <v>-4298</v>
      </c>
      <c r="D51" s="39">
        <v>-5749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59</v>
      </c>
      <c r="D55" s="39">
        <v>65</v>
      </c>
    </row>
    <row r="56" spans="1:4" ht="15">
      <c r="A56" s="35"/>
      <c r="B56" s="35" t="s">
        <v>185</v>
      </c>
      <c r="C56" s="36">
        <f>+C57+C61+C66+C67+C68+C69+C70</f>
        <v>0</v>
      </c>
      <c r="D56" s="36">
        <f>+D57+D61+D66+D67+D68+D69+D70</f>
        <v>0</v>
      </c>
    </row>
    <row r="57" spans="1:4" ht="15">
      <c r="A57" s="37"/>
      <c r="B57" s="37" t="s">
        <v>83</v>
      </c>
      <c r="C57" s="38">
        <f>+C58+C59+C60</f>
        <v>0</v>
      </c>
      <c r="D57" s="38">
        <f>+D58+D59+D60</f>
        <v>0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0</v>
      </c>
      <c r="D60" s="39">
        <v>0</v>
      </c>
    </row>
    <row r="61" spans="1:4" ht="15">
      <c r="A61" s="37"/>
      <c r="B61" s="37" t="s">
        <v>88</v>
      </c>
      <c r="C61" s="38">
        <f>+C62+C63+C64+C65</f>
        <v>0</v>
      </c>
      <c r="D61" s="38">
        <f>+D62+D63+D64+D65</f>
        <v>0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0</v>
      </c>
      <c r="D65" s="39">
        <v>0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1714</v>
      </c>
      <c r="D71" s="36">
        <f>+D72+D73+D77+D82+D83+D86+D87</f>
        <v>1768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0</v>
      </c>
      <c r="D73" s="38">
        <f>+D74+D75+D76</f>
        <v>0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0</v>
      </c>
      <c r="D76" s="39">
        <v>0</v>
      </c>
    </row>
    <row r="77" spans="1:4" ht="15">
      <c r="A77" s="37"/>
      <c r="B77" s="37" t="s">
        <v>112</v>
      </c>
      <c r="C77" s="38">
        <f>+C78+C79+C80+C81</f>
        <v>0</v>
      </c>
      <c r="D77" s="38">
        <f>+D78+D79+D80+D81</f>
        <v>0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0</v>
      </c>
      <c r="D81" s="39">
        <v>0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1714</v>
      </c>
      <c r="D83" s="38">
        <f>+D84+D85</f>
        <v>1768</v>
      </c>
    </row>
    <row r="84" spans="1:4" ht="15">
      <c r="A84" s="37" t="s">
        <v>121</v>
      </c>
      <c r="B84" s="37" t="s">
        <v>197</v>
      </c>
      <c r="C84" s="39">
        <v>89</v>
      </c>
      <c r="D84" s="39">
        <v>17</v>
      </c>
    </row>
    <row r="85" spans="1:4" ht="15">
      <c r="A85" s="37" t="s">
        <v>123</v>
      </c>
      <c r="B85" s="37" t="s">
        <v>198</v>
      </c>
      <c r="C85" s="39">
        <v>1625</v>
      </c>
      <c r="D85" s="39">
        <v>1751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5036</v>
      </c>
      <c r="D88" s="36">
        <f>+D43+D56+D71</f>
        <v>4782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15.18295</v>
      </c>
      <c r="D4" s="14">
        <v>15.18295</v>
      </c>
    </row>
    <row r="5" spans="1:4" ht="34.5" thickBot="1">
      <c r="A5" s="15" t="s">
        <v>147</v>
      </c>
      <c r="B5" s="15" t="s">
        <v>11</v>
      </c>
      <c r="C5" s="16"/>
      <c r="D5" s="16"/>
    </row>
    <row r="6" spans="1:4" ht="45.75" thickBot="1">
      <c r="A6" s="15" t="s">
        <v>148</v>
      </c>
      <c r="B6" s="15" t="s">
        <v>19</v>
      </c>
      <c r="C6" s="16"/>
      <c r="D6" s="16"/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>
        <v>15.18295</v>
      </c>
      <c r="D8" s="16">
        <v>15.18295</v>
      </c>
    </row>
    <row r="9" spans="1:4" ht="35.25" customHeight="1" thickBot="1">
      <c r="A9" s="15" t="s">
        <v>30</v>
      </c>
      <c r="B9" s="15" t="s">
        <v>31</v>
      </c>
      <c r="C9" s="16"/>
      <c r="D9" s="16"/>
    </row>
    <row r="10" spans="1:4" ht="15.75" thickBot="1">
      <c r="A10" s="15"/>
      <c r="B10" s="15" t="s">
        <v>32</v>
      </c>
      <c r="C10" s="16"/>
      <c r="D10" s="16"/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22.774440000000002</v>
      </c>
      <c r="D12" s="14">
        <v>23.91822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/>
      <c r="D14" s="16"/>
    </row>
    <row r="15" spans="1:4" ht="15.75" thickBot="1">
      <c r="A15" s="15"/>
      <c r="B15" s="15" t="s">
        <v>48</v>
      </c>
      <c r="C15" s="16">
        <f>SUM(C16:C18)</f>
        <v>0.39187</v>
      </c>
      <c r="D15" s="16">
        <v>0.45261</v>
      </c>
    </row>
    <row r="16" spans="1:4" ht="24" customHeight="1" thickBot="1">
      <c r="A16" s="15" t="s">
        <v>49</v>
      </c>
      <c r="B16" s="15" t="s">
        <v>50</v>
      </c>
      <c r="C16" s="16">
        <v>0</v>
      </c>
      <c r="D16" s="16">
        <v>0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0.39187</v>
      </c>
      <c r="D18" s="16">
        <v>0.45261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/>
      <c r="D20" s="16"/>
    </row>
    <row r="21" spans="1:4" ht="15.75" thickBot="1">
      <c r="A21" s="15" t="s">
        <v>58</v>
      </c>
      <c r="B21" s="15" t="s">
        <v>59</v>
      </c>
      <c r="C21" s="16"/>
      <c r="D21" s="16"/>
    </row>
    <row r="22" spans="1:4" ht="15.75" thickBot="1">
      <c r="A22" s="15"/>
      <c r="B22" s="15" t="s">
        <v>60</v>
      </c>
      <c r="C22" s="16">
        <v>22.38257</v>
      </c>
      <c r="D22" s="16">
        <v>23.46561</v>
      </c>
    </row>
    <row r="23" spans="1:4" ht="25.5" customHeight="1" thickBot="1">
      <c r="A23" s="17"/>
      <c r="B23" s="17" t="s">
        <v>61</v>
      </c>
      <c r="C23" s="18">
        <f>C4+C12</f>
        <v>37.957390000000004</v>
      </c>
      <c r="D23" s="18">
        <v>39.10117</v>
      </c>
    </row>
    <row r="24" spans="1:4" ht="15.75" thickBot="1">
      <c r="A24" s="13" t="s">
        <v>5</v>
      </c>
      <c r="B24" s="13" t="s">
        <v>62</v>
      </c>
      <c r="C24" s="14">
        <f>C25+C35+C36</f>
        <v>28.05843</v>
      </c>
      <c r="D24" s="14">
        <v>30.93225</v>
      </c>
    </row>
    <row r="25" spans="1:4" ht="15.75" thickBot="1">
      <c r="A25" s="15"/>
      <c r="B25" s="15" t="s">
        <v>63</v>
      </c>
      <c r="C25" s="16">
        <f>SUM(C26:C34)</f>
        <v>28.05843</v>
      </c>
      <c r="D25" s="16">
        <v>30.93225</v>
      </c>
    </row>
    <row r="26" spans="1:4" ht="15.75" thickBot="1">
      <c r="A26" s="15" t="s">
        <v>64</v>
      </c>
      <c r="B26" s="15" t="s">
        <v>65</v>
      </c>
      <c r="C26" s="16">
        <v>4</v>
      </c>
      <c r="D26" s="16">
        <v>4</v>
      </c>
    </row>
    <row r="27" spans="1:4" ht="15.75" thickBot="1">
      <c r="A27" s="15"/>
      <c r="B27" s="15" t="s">
        <v>66</v>
      </c>
      <c r="C27" s="16">
        <v>16</v>
      </c>
      <c r="D27" s="16">
        <v>16</v>
      </c>
    </row>
    <row r="28" spans="1:4" ht="15.75" thickBot="1">
      <c r="A28" s="15" t="s">
        <v>67</v>
      </c>
      <c r="B28" s="15" t="s">
        <v>68</v>
      </c>
      <c r="C28" s="16">
        <v>10.93225</v>
      </c>
      <c r="D28" s="16"/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>
        <v>0</v>
      </c>
      <c r="D30" s="16"/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>
        <v>-2.8738200000000003</v>
      </c>
      <c r="D32" s="16">
        <v>10.93225</v>
      </c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0</v>
      </c>
      <c r="D37" s="14">
        <v>0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v>0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9.89896</v>
      </c>
      <c r="D49" s="14">
        <v>8.16892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0</v>
      </c>
      <c r="D52" s="16">
        <v>0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/>
      <c r="D56" s="16"/>
    </row>
    <row r="57" spans="1:4" ht="31.5" customHeight="1" thickBot="1">
      <c r="A57" s="15" t="s">
        <v>118</v>
      </c>
      <c r="B57" s="15" t="s">
        <v>119</v>
      </c>
      <c r="C57" s="16">
        <v>2.68615</v>
      </c>
      <c r="D57" s="16">
        <v>3.6440900000000003</v>
      </c>
    </row>
    <row r="58" spans="1:4" ht="15.75" thickBot="1">
      <c r="A58" s="15"/>
      <c r="B58" s="15" t="s">
        <v>120</v>
      </c>
      <c r="C58" s="16">
        <f>SUM(C59:C60)</f>
        <v>7.21281</v>
      </c>
      <c r="D58" s="16">
        <v>4.52483</v>
      </c>
    </row>
    <row r="59" spans="1:4" ht="15.75" thickBot="1">
      <c r="A59" s="15" t="s">
        <v>121</v>
      </c>
      <c r="B59" s="15" t="s">
        <v>122</v>
      </c>
      <c r="C59" s="16">
        <v>6.47881</v>
      </c>
      <c r="D59" s="16">
        <v>3.47966</v>
      </c>
    </row>
    <row r="60" spans="1:4" ht="15.75" thickBot="1">
      <c r="A60" s="15" t="s">
        <v>123</v>
      </c>
      <c r="B60" s="15" t="s">
        <v>124</v>
      </c>
      <c r="C60" s="16">
        <v>0.734</v>
      </c>
      <c r="D60" s="16">
        <v>1.04517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37.957390000000004</v>
      </c>
      <c r="D63" s="18">
        <v>39.101169999999996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68.421875" style="0" bestFit="1" customWidth="1"/>
    <col min="2" max="2" width="69.57421875" style="0" bestFit="1" customWidth="1"/>
    <col min="3" max="3" width="20.7109375" style="0" customWidth="1"/>
    <col min="4" max="4" width="21.28125" style="0" customWidth="1"/>
    <col min="5" max="13" width="15.140625" style="0" customWidth="1"/>
    <col min="14" max="14" width="15.5742187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14" ht="20.25" thickBot="1">
      <c r="A2" s="12" t="s">
        <v>5</v>
      </c>
      <c r="B2" s="21" t="s">
        <v>6</v>
      </c>
      <c r="C2" s="12"/>
      <c r="D2" s="12"/>
      <c r="F2" s="54" t="s">
        <v>205</v>
      </c>
      <c r="M2" s="55" t="s">
        <v>206</v>
      </c>
      <c r="N2" s="55" t="s">
        <v>207</v>
      </c>
    </row>
    <row r="3" spans="1:12" ht="15.75" thickBot="1">
      <c r="A3" s="12" t="s">
        <v>5</v>
      </c>
      <c r="B3" s="12" t="s">
        <v>7</v>
      </c>
      <c r="C3" s="23">
        <v>42979</v>
      </c>
      <c r="D3" s="23">
        <v>42705</v>
      </c>
      <c r="F3" s="54"/>
      <c r="L3" s="54"/>
    </row>
    <row r="4" spans="1:14" ht="18.75" customHeight="1" thickBot="1">
      <c r="A4" s="13" t="s">
        <v>5</v>
      </c>
      <c r="B4" s="13" t="s">
        <v>10</v>
      </c>
      <c r="C4" s="24">
        <f>SUM(C5:C11)</f>
        <v>110801830.58</v>
      </c>
      <c r="D4" s="24">
        <f>SUM(D5:D11)</f>
        <v>112022757.51</v>
      </c>
      <c r="F4" s="54"/>
      <c r="M4" s="55"/>
      <c r="N4" s="55"/>
    </row>
    <row r="5" spans="1:14" ht="23.25" thickBot="1">
      <c r="A5" s="15" t="s">
        <v>147</v>
      </c>
      <c r="B5" s="15" t="s">
        <v>11</v>
      </c>
      <c r="C5" s="25"/>
      <c r="D5" s="25"/>
      <c r="H5" s="54"/>
      <c r="M5" s="55"/>
      <c r="N5" s="55"/>
    </row>
    <row r="6" spans="1:14" ht="34.5" thickBot="1">
      <c r="A6" s="15" t="s">
        <v>148</v>
      </c>
      <c r="B6" s="15" t="s">
        <v>19</v>
      </c>
      <c r="C6" s="25"/>
      <c r="D6" s="25"/>
      <c r="I6" s="54"/>
      <c r="M6" s="55"/>
      <c r="N6" s="55"/>
    </row>
    <row r="7" spans="1:14" ht="15.75" thickBot="1">
      <c r="A7" s="15" t="s">
        <v>149</v>
      </c>
      <c r="B7" s="15" t="s">
        <v>24</v>
      </c>
      <c r="C7" s="25"/>
      <c r="D7" s="25"/>
      <c r="J7" s="54"/>
      <c r="M7" s="55"/>
      <c r="N7" s="55"/>
    </row>
    <row r="8" spans="1:14" ht="29.25" customHeight="1" thickBot="1">
      <c r="A8" s="15" t="s">
        <v>28</v>
      </c>
      <c r="B8" s="15" t="s">
        <v>29</v>
      </c>
      <c r="C8" s="25">
        <v>110801830.58</v>
      </c>
      <c r="D8" s="25">
        <v>112022757.51</v>
      </c>
      <c r="J8" s="54"/>
      <c r="M8" s="56"/>
      <c r="N8" s="56"/>
    </row>
    <row r="9" spans="1:14" ht="23.25" thickBot="1">
      <c r="A9" s="15" t="s">
        <v>30</v>
      </c>
      <c r="B9" s="15" t="s">
        <v>31</v>
      </c>
      <c r="C9" s="25"/>
      <c r="D9" s="25"/>
      <c r="I9" s="54"/>
      <c r="M9" s="56"/>
      <c r="N9" s="56"/>
    </row>
    <row r="10" spans="1:14" ht="15.75" thickBot="1">
      <c r="A10" s="15"/>
      <c r="B10" s="15" t="s">
        <v>32</v>
      </c>
      <c r="C10" s="25"/>
      <c r="D10" s="25"/>
      <c r="J10" s="54"/>
      <c r="M10" s="56"/>
      <c r="N10" s="56"/>
    </row>
    <row r="11" spans="1:14" ht="15.75" thickBot="1">
      <c r="A11" s="15" t="s">
        <v>33</v>
      </c>
      <c r="B11" s="15" t="s">
        <v>34</v>
      </c>
      <c r="C11" s="25"/>
      <c r="D11" s="25"/>
      <c r="J11" s="54"/>
      <c r="M11" s="56"/>
      <c r="N11" s="56"/>
    </row>
    <row r="12" spans="1:14" ht="15.75" thickBot="1">
      <c r="A12" s="13" t="s">
        <v>5</v>
      </c>
      <c r="B12" s="13" t="s">
        <v>35</v>
      </c>
      <c r="C12" s="24">
        <f>SUM(C13:C15,C19:C22)</f>
        <v>32553419.15</v>
      </c>
      <c r="D12" s="24">
        <f>SUM(D13:D15,D19:D22)</f>
        <v>33417764.66</v>
      </c>
      <c r="F12" s="54"/>
      <c r="M12" s="56"/>
      <c r="N12" s="56"/>
    </row>
    <row r="13" spans="1:14" ht="15.75" thickBot="1">
      <c r="A13" s="15" t="s">
        <v>150</v>
      </c>
      <c r="B13" s="15" t="s">
        <v>36</v>
      </c>
      <c r="C13" s="25"/>
      <c r="D13" s="25"/>
      <c r="H13" s="54"/>
      <c r="M13" s="56"/>
      <c r="N13" s="56"/>
    </row>
    <row r="14" spans="1:14" ht="15.75" thickBot="1">
      <c r="A14" s="15" t="s">
        <v>46</v>
      </c>
      <c r="B14" s="15" t="s">
        <v>45</v>
      </c>
      <c r="C14" s="25"/>
      <c r="D14" s="25"/>
      <c r="I14" s="54"/>
      <c r="M14" s="56"/>
      <c r="N14" s="56"/>
    </row>
    <row r="15" spans="1:14" ht="15.75" thickBot="1">
      <c r="A15" s="15"/>
      <c r="B15" s="15" t="s">
        <v>48</v>
      </c>
      <c r="C15" s="25">
        <v>6774394.42</v>
      </c>
      <c r="D15" s="25">
        <v>3889960.82</v>
      </c>
      <c r="J15" s="54"/>
      <c r="M15" s="56"/>
      <c r="N15" s="56"/>
    </row>
    <row r="16" spans="1:14" ht="24" customHeight="1" thickBot="1">
      <c r="A16" s="15" t="s">
        <v>49</v>
      </c>
      <c r="B16" s="15" t="s">
        <v>50</v>
      </c>
      <c r="C16" s="25"/>
      <c r="D16" s="25"/>
      <c r="J16" s="54"/>
      <c r="M16" s="56"/>
      <c r="N16" s="56"/>
    </row>
    <row r="17" spans="1:14" ht="15.75" thickBot="1">
      <c r="A17" s="15"/>
      <c r="B17" s="15" t="s">
        <v>51</v>
      </c>
      <c r="C17" s="25"/>
      <c r="D17" s="25"/>
      <c r="I17" s="54"/>
      <c r="M17" s="56"/>
      <c r="N17" s="56"/>
    </row>
    <row r="18" spans="1:14" ht="15.75" thickBot="1">
      <c r="A18" s="15" t="s">
        <v>52</v>
      </c>
      <c r="B18" s="15" t="s">
        <v>53</v>
      </c>
      <c r="C18" s="25"/>
      <c r="D18" s="25"/>
      <c r="J18" s="54"/>
      <c r="M18" s="56"/>
      <c r="N18" s="56"/>
    </row>
    <row r="19" spans="1:14" ht="23.25" thickBot="1">
      <c r="A19" s="15" t="s">
        <v>54</v>
      </c>
      <c r="B19" s="15" t="s">
        <v>55</v>
      </c>
      <c r="C19" s="25">
        <v>9810002.51</v>
      </c>
      <c r="D19" s="25">
        <v>9925005.25</v>
      </c>
      <c r="I19" s="54"/>
      <c r="M19" s="56"/>
      <c r="N19" s="56"/>
    </row>
    <row r="20" spans="1:14" ht="34.5" thickBot="1">
      <c r="A20" s="15" t="s">
        <v>56</v>
      </c>
      <c r="B20" s="15" t="s">
        <v>57</v>
      </c>
      <c r="C20" s="25"/>
      <c r="D20" s="25"/>
      <c r="J20" s="54"/>
      <c r="M20" s="56"/>
      <c r="N20" s="56"/>
    </row>
    <row r="21" spans="1:14" ht="15.75" thickBot="1">
      <c r="A21" s="15" t="s">
        <v>58</v>
      </c>
      <c r="B21" s="15" t="s">
        <v>59</v>
      </c>
      <c r="C21" s="25"/>
      <c r="D21" s="25"/>
      <c r="I21" s="54"/>
      <c r="M21" s="56"/>
      <c r="N21" s="56"/>
    </row>
    <row r="22" spans="1:14" ht="15.75" thickBot="1">
      <c r="A22" s="15"/>
      <c r="B22" s="15" t="s">
        <v>60</v>
      </c>
      <c r="C22" s="25">
        <v>15969022.22</v>
      </c>
      <c r="D22" s="25">
        <v>19602798.59</v>
      </c>
      <c r="J22" s="54"/>
      <c r="M22" s="56"/>
      <c r="N22" s="56"/>
    </row>
    <row r="23" spans="1:14" ht="25.5" customHeight="1" thickBot="1">
      <c r="A23" s="17"/>
      <c r="B23" s="17" t="s">
        <v>61</v>
      </c>
      <c r="C23" s="26">
        <f>C4+C12</f>
        <v>143355249.73</v>
      </c>
      <c r="D23" s="26">
        <f>D4+D12</f>
        <v>145440522.17000002</v>
      </c>
      <c r="J23" s="54"/>
      <c r="M23" s="56"/>
      <c r="N23" s="56"/>
    </row>
    <row r="24" spans="1:14" ht="15.75" thickBot="1">
      <c r="A24" s="13" t="s">
        <v>5</v>
      </c>
      <c r="B24" s="13" t="s">
        <v>62</v>
      </c>
      <c r="C24" s="24">
        <f>C25+C35+C36</f>
        <v>141704414.14</v>
      </c>
      <c r="D24" s="24">
        <f>D25+D35+D36</f>
        <v>140250550.20000002</v>
      </c>
      <c r="H24" s="54"/>
      <c r="M24" s="56"/>
      <c r="N24" s="56"/>
    </row>
    <row r="25" spans="1:14" ht="15.75" thickBot="1">
      <c r="A25" s="15"/>
      <c r="B25" s="15" t="s">
        <v>63</v>
      </c>
      <c r="C25" s="25">
        <f>SUM(C26:C34)</f>
        <v>141704414.14</v>
      </c>
      <c r="D25" s="25">
        <f>SUM(D26:D34)</f>
        <v>140250550.20000002</v>
      </c>
      <c r="I25" s="54"/>
      <c r="M25" s="56"/>
      <c r="N25" s="56"/>
    </row>
    <row r="26" spans="1:14" ht="15.75" thickBot="1">
      <c r="A26" s="15" t="s">
        <v>64</v>
      </c>
      <c r="B26" s="15" t="s">
        <v>65</v>
      </c>
      <c r="C26" s="25">
        <v>80600000</v>
      </c>
      <c r="D26" s="25">
        <v>80600000</v>
      </c>
      <c r="J26" s="54"/>
      <c r="M26" s="56"/>
      <c r="N26" s="56"/>
    </row>
    <row r="27" spans="1:14" ht="15.75" thickBot="1">
      <c r="A27" s="15"/>
      <c r="B27" s="15" t="s">
        <v>66</v>
      </c>
      <c r="C27" s="25"/>
      <c r="D27" s="25"/>
      <c r="J27" s="54"/>
      <c r="M27" s="56"/>
      <c r="N27" s="56"/>
    </row>
    <row r="28" spans="1:14" ht="15.75" thickBot="1">
      <c r="A28" s="15" t="s">
        <v>67</v>
      </c>
      <c r="B28" s="15" t="s">
        <v>68</v>
      </c>
      <c r="C28" s="25">
        <v>59650550.2</v>
      </c>
      <c r="D28" s="25">
        <v>54987155.18</v>
      </c>
      <c r="J28" s="54"/>
      <c r="M28" s="56"/>
      <c r="N28" s="56"/>
    </row>
    <row r="29" spans="1:14" ht="15.75" thickBot="1">
      <c r="A29" s="15" t="s">
        <v>69</v>
      </c>
      <c r="B29" s="15" t="s">
        <v>70</v>
      </c>
      <c r="C29" s="25"/>
      <c r="D29" s="25"/>
      <c r="I29" s="54"/>
      <c r="M29" s="56"/>
      <c r="N29" s="56"/>
    </row>
    <row r="30" spans="1:14" ht="15.75" thickBot="1">
      <c r="A30" s="15" t="s">
        <v>71</v>
      </c>
      <c r="B30" s="15" t="s">
        <v>72</v>
      </c>
      <c r="C30" s="25"/>
      <c r="D30" s="25"/>
      <c r="J30" s="54"/>
      <c r="M30" s="56"/>
      <c r="N30" s="56"/>
    </row>
    <row r="31" spans="1:14" ht="15.75" thickBot="1">
      <c r="A31" s="15"/>
      <c r="B31" s="15" t="s">
        <v>73</v>
      </c>
      <c r="C31" s="25"/>
      <c r="D31" s="25"/>
      <c r="F31" s="54"/>
      <c r="M31" s="55"/>
      <c r="N31" s="55"/>
    </row>
    <row r="32" spans="1:12" ht="15.75" thickBot="1">
      <c r="A32" s="15"/>
      <c r="B32" s="15" t="s">
        <v>74</v>
      </c>
      <c r="C32" s="25">
        <v>1453863.94</v>
      </c>
      <c r="D32" s="25">
        <v>4663395.02</v>
      </c>
      <c r="F32" s="54"/>
      <c r="L32" s="54"/>
    </row>
    <row r="33" spans="1:14" ht="15.75" thickBot="1">
      <c r="A33" s="15" t="s">
        <v>75</v>
      </c>
      <c r="B33" s="15" t="s">
        <v>76</v>
      </c>
      <c r="C33" s="25"/>
      <c r="D33" s="25"/>
      <c r="F33" s="54"/>
      <c r="M33" s="55"/>
      <c r="N33" s="55"/>
    </row>
    <row r="34" spans="1:14" ht="15.75" thickBot="1">
      <c r="A34" s="15"/>
      <c r="B34" s="15" t="s">
        <v>77</v>
      </c>
      <c r="C34" s="25"/>
      <c r="D34" s="25"/>
      <c r="H34" s="54"/>
      <c r="M34" s="55"/>
      <c r="N34" s="55"/>
    </row>
    <row r="35" spans="1:14" ht="15.75" thickBot="1">
      <c r="A35" s="15" t="s">
        <v>78</v>
      </c>
      <c r="B35" s="15" t="s">
        <v>79</v>
      </c>
      <c r="C35" s="25"/>
      <c r="D35" s="25"/>
      <c r="I35" s="54"/>
      <c r="M35" s="56"/>
      <c r="N35" s="56"/>
    </row>
    <row r="36" spans="1:14" ht="15.75" thickBot="1">
      <c r="A36" s="15" t="s">
        <v>80</v>
      </c>
      <c r="B36" s="15" t="s">
        <v>81</v>
      </c>
      <c r="C36" s="25"/>
      <c r="D36" s="25"/>
      <c r="J36" s="54"/>
      <c r="M36" s="56"/>
      <c r="N36" s="56"/>
    </row>
    <row r="37" spans="1:14" ht="15.75" thickBot="1">
      <c r="A37" s="13" t="s">
        <v>5</v>
      </c>
      <c r="B37" s="13" t="s">
        <v>82</v>
      </c>
      <c r="C37" s="24">
        <f>SUM(C38:C39,C44:C48)</f>
        <v>0</v>
      </c>
      <c r="D37" s="24">
        <f>SUM(D38:D39,D44:D48)</f>
        <v>0</v>
      </c>
      <c r="K37" s="54"/>
      <c r="M37" s="56"/>
      <c r="N37" s="56"/>
    </row>
    <row r="38" spans="1:14" ht="15.75" thickBot="1">
      <c r="A38" s="15" t="s">
        <v>86</v>
      </c>
      <c r="B38" s="15" t="s">
        <v>83</v>
      </c>
      <c r="C38" s="25"/>
      <c r="D38" s="25"/>
      <c r="I38" s="54"/>
      <c r="M38" s="56"/>
      <c r="N38" s="56"/>
    </row>
    <row r="39" spans="1:14" ht="15.75" thickBot="1">
      <c r="A39" s="15"/>
      <c r="B39" s="15" t="s">
        <v>88</v>
      </c>
      <c r="C39" s="25">
        <f>SUM(C40:C43)</f>
        <v>0</v>
      </c>
      <c r="D39" s="25">
        <f>SUM(D40:D43)</f>
        <v>0</v>
      </c>
      <c r="J39" s="54"/>
      <c r="M39" s="56"/>
      <c r="N39" s="56"/>
    </row>
    <row r="40" spans="1:14" ht="15.75" thickBot="1">
      <c r="A40" s="15" t="s">
        <v>89</v>
      </c>
      <c r="B40" s="15" t="s">
        <v>90</v>
      </c>
      <c r="C40" s="25"/>
      <c r="D40" s="25"/>
      <c r="K40" s="54"/>
      <c r="M40" s="56"/>
      <c r="N40" s="56"/>
    </row>
    <row r="41" spans="1:14" ht="15.75" thickBot="1">
      <c r="A41" s="15" t="s">
        <v>91</v>
      </c>
      <c r="B41" s="15" t="s">
        <v>92</v>
      </c>
      <c r="C41" s="25"/>
      <c r="D41" s="25"/>
      <c r="J41" s="54"/>
      <c r="M41" s="56"/>
      <c r="N41" s="56"/>
    </row>
    <row r="42" spans="1:14" ht="15.75" thickBot="1">
      <c r="A42" s="15" t="s">
        <v>93</v>
      </c>
      <c r="B42" s="15" t="s">
        <v>94</v>
      </c>
      <c r="C42" s="25"/>
      <c r="D42" s="25"/>
      <c r="K42" s="54"/>
      <c r="M42" s="56"/>
      <c r="N42" s="56"/>
    </row>
    <row r="43" spans="1:14" ht="18" customHeight="1" thickBot="1">
      <c r="A43" s="15" t="s">
        <v>95</v>
      </c>
      <c r="B43" s="15" t="s">
        <v>96</v>
      </c>
      <c r="C43" s="25"/>
      <c r="D43" s="25"/>
      <c r="K43" s="54"/>
      <c r="M43" s="56"/>
      <c r="N43" s="56"/>
    </row>
    <row r="44" spans="1:14" ht="15.75" thickBot="1">
      <c r="A44" s="15" t="s">
        <v>97</v>
      </c>
      <c r="B44" s="15" t="s">
        <v>98</v>
      </c>
      <c r="C44" s="25"/>
      <c r="D44" s="25"/>
      <c r="K44" s="54"/>
      <c r="M44" s="56"/>
      <c r="N44" s="56"/>
    </row>
    <row r="45" spans="1:14" ht="15.75" thickBot="1">
      <c r="A45" s="15" t="s">
        <v>99</v>
      </c>
      <c r="B45" s="15" t="s">
        <v>100</v>
      </c>
      <c r="C45" s="25"/>
      <c r="D45" s="25"/>
      <c r="I45" s="54"/>
      <c r="M45" s="56"/>
      <c r="N45" s="56"/>
    </row>
    <row r="46" spans="1:14" ht="15.75" thickBot="1">
      <c r="A46" s="15" t="s">
        <v>101</v>
      </c>
      <c r="B46" s="15" t="s">
        <v>102</v>
      </c>
      <c r="C46" s="25"/>
      <c r="D46" s="25"/>
      <c r="J46" s="54"/>
      <c r="M46" s="56"/>
      <c r="N46" s="56"/>
    </row>
    <row r="47" spans="1:14" ht="15.75" thickBot="1">
      <c r="A47" s="15" t="s">
        <v>103</v>
      </c>
      <c r="B47" s="15" t="s">
        <v>104</v>
      </c>
      <c r="C47" s="25"/>
      <c r="D47" s="25"/>
      <c r="F47" s="54"/>
      <c r="M47" s="56"/>
      <c r="N47" s="56"/>
    </row>
    <row r="48" spans="1:14" ht="15.75" thickBot="1">
      <c r="A48" s="15" t="s">
        <v>105</v>
      </c>
      <c r="B48" s="15" t="s">
        <v>106</v>
      </c>
      <c r="C48" s="25"/>
      <c r="D48" s="25"/>
      <c r="H48" s="54"/>
      <c r="M48" s="56"/>
      <c r="N48" s="56"/>
    </row>
    <row r="49" spans="1:14" ht="15.75" thickBot="1">
      <c r="A49" s="13" t="s">
        <v>5</v>
      </c>
      <c r="B49" s="13" t="s">
        <v>107</v>
      </c>
      <c r="C49" s="24">
        <f>SUM(C50:C52,C57:C58,C61:C62)</f>
        <v>1650835.59</v>
      </c>
      <c r="D49" s="24">
        <f>SUM(D50:D52,D57:D58,D61:D62)</f>
        <v>5189971.97</v>
      </c>
      <c r="I49" s="54"/>
      <c r="M49" s="56"/>
      <c r="N49" s="56"/>
    </row>
    <row r="50" spans="1:14" ht="15.75" thickBot="1">
      <c r="A50" s="15" t="s">
        <v>108</v>
      </c>
      <c r="B50" s="15" t="s">
        <v>109</v>
      </c>
      <c r="C50" s="25"/>
      <c r="D50" s="25"/>
      <c r="I50" s="54"/>
      <c r="M50" s="56"/>
      <c r="N50" s="56"/>
    </row>
    <row r="51" spans="1:14" ht="15.75" thickBot="1">
      <c r="A51" s="15" t="s">
        <v>111</v>
      </c>
      <c r="B51" s="15" t="s">
        <v>110</v>
      </c>
      <c r="C51" s="25"/>
      <c r="D51" s="25"/>
      <c r="H51" s="54"/>
      <c r="M51" s="56"/>
      <c r="N51" s="56"/>
    </row>
    <row r="52" spans="1:14" ht="15.75" thickBot="1">
      <c r="A52" s="15"/>
      <c r="B52" s="15" t="s">
        <v>112</v>
      </c>
      <c r="C52" s="25">
        <f>SUM(C53:C56)</f>
        <v>0</v>
      </c>
      <c r="D52" s="25">
        <f>SUM(D53:D56)</f>
        <v>0</v>
      </c>
      <c r="I52" s="54"/>
      <c r="M52" s="56"/>
      <c r="N52" s="56"/>
    </row>
    <row r="53" spans="1:14" ht="15.75" thickBot="1">
      <c r="A53" s="15" t="s">
        <v>113</v>
      </c>
      <c r="B53" s="15" t="s">
        <v>90</v>
      </c>
      <c r="C53" s="25"/>
      <c r="D53" s="25"/>
      <c r="J53" s="54"/>
      <c r="M53" s="56"/>
      <c r="N53" s="56"/>
    </row>
    <row r="54" spans="1:14" ht="15.75" thickBot="1">
      <c r="A54" s="15" t="s">
        <v>114</v>
      </c>
      <c r="B54" s="15" t="s">
        <v>92</v>
      </c>
      <c r="C54" s="25"/>
      <c r="D54" s="25"/>
      <c r="I54" s="54"/>
      <c r="M54" s="56"/>
      <c r="N54" s="56"/>
    </row>
    <row r="55" spans="1:14" ht="15.75" thickBot="1">
      <c r="A55" s="15" t="s">
        <v>115</v>
      </c>
      <c r="B55" s="15" t="s">
        <v>94</v>
      </c>
      <c r="C55" s="25"/>
      <c r="D55" s="25"/>
      <c r="J55" s="54"/>
      <c r="M55" s="56"/>
      <c r="N55" s="56"/>
    </row>
    <row r="56" spans="1:14" ht="34.5" thickBot="1">
      <c r="A56" s="15" t="s">
        <v>116</v>
      </c>
      <c r="B56" s="15" t="s">
        <v>117</v>
      </c>
      <c r="C56" s="25"/>
      <c r="D56" s="25"/>
      <c r="G56" s="54"/>
      <c r="M56" s="55"/>
      <c r="N56" s="55"/>
    </row>
    <row r="57" spans="1:7" ht="31.5" customHeight="1" thickBot="1">
      <c r="A57" s="15" t="s">
        <v>118</v>
      </c>
      <c r="B57" s="15" t="s">
        <v>119</v>
      </c>
      <c r="C57" s="25">
        <v>1650808.98</v>
      </c>
      <c r="D57" s="25">
        <v>5149481.46</v>
      </c>
      <c r="G57" s="54"/>
    </row>
    <row r="58" spans="1:4" ht="15.75" thickBot="1">
      <c r="A58" s="15"/>
      <c r="B58" s="15" t="s">
        <v>120</v>
      </c>
      <c r="C58" s="25">
        <v>26.61</v>
      </c>
      <c r="D58" s="25">
        <v>40490.51</v>
      </c>
    </row>
    <row r="59" spans="1:4" ht="15.75" thickBot="1">
      <c r="A59" s="15" t="s">
        <v>121</v>
      </c>
      <c r="B59" s="15" t="s">
        <v>122</v>
      </c>
      <c r="C59" s="25"/>
      <c r="D59" s="25"/>
    </row>
    <row r="60" spans="1:4" ht="15.75" thickBot="1">
      <c r="A60" s="15" t="s">
        <v>123</v>
      </c>
      <c r="B60" s="15" t="s">
        <v>124</v>
      </c>
      <c r="C60" s="25"/>
      <c r="D60" s="25"/>
    </row>
    <row r="61" spans="1:4" ht="15.75" thickBot="1">
      <c r="A61" s="15" t="s">
        <v>125</v>
      </c>
      <c r="B61" s="15" t="s">
        <v>126</v>
      </c>
      <c r="C61" s="25"/>
      <c r="D61" s="25"/>
    </row>
    <row r="62" spans="1:4" ht="15.75" thickBot="1">
      <c r="A62" s="15" t="s">
        <v>127</v>
      </c>
      <c r="B62" s="15" t="s">
        <v>128</v>
      </c>
      <c r="C62" s="25"/>
      <c r="D62" s="25"/>
    </row>
    <row r="63" spans="1:4" ht="23.25" customHeight="1" thickBot="1">
      <c r="A63" s="17"/>
      <c r="B63" s="17" t="s">
        <v>129</v>
      </c>
      <c r="C63" s="26">
        <f>C24+C37+C49</f>
        <v>143355249.73</v>
      </c>
      <c r="D63" s="26">
        <f>D24+D37+D49</f>
        <v>145440522.17000002</v>
      </c>
    </row>
    <row r="65" spans="3:4" ht="15">
      <c r="C65" s="27">
        <f>+C63-C23</f>
        <v>0</v>
      </c>
      <c r="D65" s="27">
        <f>+D63-D23</f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0</v>
      </c>
      <c r="D4" s="14">
        <f>SUM(D5:D11)</f>
        <v>0</v>
      </c>
    </row>
    <row r="5" spans="1:4" ht="34.5" thickBot="1">
      <c r="A5" s="15" t="s">
        <v>147</v>
      </c>
      <c r="B5" s="15" t="s">
        <v>11</v>
      </c>
      <c r="C5" s="16"/>
      <c r="D5" s="16"/>
    </row>
    <row r="6" spans="1:4" ht="45.75" thickBot="1">
      <c r="A6" s="15" t="s">
        <v>148</v>
      </c>
      <c r="B6" s="15" t="s">
        <v>19</v>
      </c>
      <c r="C6" s="16"/>
      <c r="D6" s="16"/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/>
      <c r="D8" s="16"/>
    </row>
    <row r="9" spans="1:4" ht="35.25" customHeight="1" thickBot="1">
      <c r="A9" s="15" t="s">
        <v>30</v>
      </c>
      <c r="B9" s="15" t="s">
        <v>31</v>
      </c>
      <c r="C9" s="16"/>
      <c r="D9" s="16"/>
    </row>
    <row r="10" spans="1:4" ht="15.75" thickBot="1">
      <c r="A10" s="15"/>
      <c r="B10" s="15" t="s">
        <v>32</v>
      </c>
      <c r="C10" s="16"/>
      <c r="D10" s="16"/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3.91695</v>
      </c>
      <c r="D12" s="14">
        <f>SUM(D13:D15,D19:D22)</f>
        <v>4.18501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/>
      <c r="D14" s="16"/>
    </row>
    <row r="15" spans="1:4" ht="15.75" thickBot="1">
      <c r="A15" s="15"/>
      <c r="B15" s="15" t="s">
        <v>48</v>
      </c>
      <c r="C15" s="16">
        <f>SUM(C16:C18)</f>
        <v>2.06304</v>
      </c>
      <c r="D15" s="16">
        <f>SUM(D16:D18)</f>
        <v>1.09968</v>
      </c>
    </row>
    <row r="16" spans="1:4" ht="24" customHeight="1" thickBot="1">
      <c r="A16" s="15" t="s">
        <v>49</v>
      </c>
      <c r="B16" s="15" t="s">
        <v>50</v>
      </c>
      <c r="C16" s="16">
        <v>1.84968</v>
      </c>
      <c r="D16" s="16">
        <v>1.09968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0.21336000000000002</v>
      </c>
      <c r="D18" s="16">
        <v>0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/>
      <c r="D20" s="16"/>
    </row>
    <row r="21" spans="1:4" ht="15.75" thickBot="1">
      <c r="A21" s="15" t="s">
        <v>58</v>
      </c>
      <c r="B21" s="15" t="s">
        <v>59</v>
      </c>
      <c r="C21" s="16"/>
      <c r="D21" s="16"/>
    </row>
    <row r="22" spans="1:4" ht="15.75" thickBot="1">
      <c r="A22" s="15"/>
      <c r="B22" s="15" t="s">
        <v>60</v>
      </c>
      <c r="C22" s="16">
        <v>1.8539100000000002</v>
      </c>
      <c r="D22" s="16">
        <v>3.08533</v>
      </c>
    </row>
    <row r="23" spans="1:4" ht="25.5" customHeight="1" thickBot="1">
      <c r="A23" s="17"/>
      <c r="B23" s="17" t="s">
        <v>61</v>
      </c>
      <c r="C23" s="18">
        <f>C4+C12</f>
        <v>3.91695</v>
      </c>
      <c r="D23" s="18">
        <f>D4+D12</f>
        <v>4.18501</v>
      </c>
    </row>
    <row r="24" spans="1:4" ht="15.75" thickBot="1">
      <c r="A24" s="13" t="s">
        <v>5</v>
      </c>
      <c r="B24" s="13" t="s">
        <v>62</v>
      </c>
      <c r="C24" s="14">
        <f>C25+C35+C36</f>
        <v>3.18295</v>
      </c>
      <c r="D24" s="14">
        <f>D25+D35+D36</f>
        <v>3.18295</v>
      </c>
    </row>
    <row r="25" spans="1:4" ht="15.75" thickBot="1">
      <c r="A25" s="15"/>
      <c r="B25" s="15" t="s">
        <v>63</v>
      </c>
      <c r="C25" s="16">
        <f>SUM(C26:C34)</f>
        <v>3.18295</v>
      </c>
      <c r="D25" s="16">
        <f>SUM(D26:D34)</f>
        <v>3.18295</v>
      </c>
    </row>
    <row r="26" spans="1:4" ht="15.75" thickBot="1">
      <c r="A26" s="15" t="s">
        <v>64</v>
      </c>
      <c r="B26" s="15" t="s">
        <v>65</v>
      </c>
      <c r="C26" s="16">
        <v>4</v>
      </c>
      <c r="D26" s="16">
        <v>4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-0.42114999999999997</v>
      </c>
      <c r="D28" s="16">
        <v>-0.42114999999999997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>
        <v>-0.3959</v>
      </c>
      <c r="D30" s="16">
        <v>-0.3959</v>
      </c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/>
      <c r="D32" s="16"/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0</v>
      </c>
      <c r="D37" s="14">
        <f>SUM(D38:D39,D44:D48)</f>
        <v>0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0.734</v>
      </c>
      <c r="D49" s="14">
        <f>SUM(D50:D52,D57:D58,D61:D62)</f>
        <v>1.00206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0</v>
      </c>
      <c r="D52" s="16">
        <f>SUM(D53:D56)</f>
        <v>0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/>
      <c r="D56" s="16"/>
    </row>
    <row r="57" spans="1:4" ht="31.5" customHeight="1" thickBot="1">
      <c r="A57" s="15" t="s">
        <v>118</v>
      </c>
      <c r="B57" s="15" t="s">
        <v>119</v>
      </c>
      <c r="C57" s="16"/>
      <c r="D57" s="16"/>
    </row>
    <row r="58" spans="1:4" ht="15.75" thickBot="1">
      <c r="A58" s="15"/>
      <c r="B58" s="15" t="s">
        <v>120</v>
      </c>
      <c r="C58" s="16">
        <f>SUM(C59:C60)</f>
        <v>0.734</v>
      </c>
      <c r="D58" s="16">
        <f>SUM(D59:D60)</f>
        <v>1.00206</v>
      </c>
    </row>
    <row r="59" spans="1:4" ht="15.75" thickBot="1">
      <c r="A59" s="15" t="s">
        <v>121</v>
      </c>
      <c r="B59" s="15" t="s">
        <v>122</v>
      </c>
      <c r="C59" s="16"/>
      <c r="D59" s="16"/>
    </row>
    <row r="60" spans="1:4" ht="15.75" thickBot="1">
      <c r="A60" s="15" t="s">
        <v>123</v>
      </c>
      <c r="B60" s="15" t="s">
        <v>124</v>
      </c>
      <c r="C60" s="16">
        <v>0.734</v>
      </c>
      <c r="D60" s="16">
        <v>1.00206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3.91695</v>
      </c>
      <c r="D63" s="18">
        <f>D24+D37+D49</f>
        <v>4.18501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23">
        <v>43008</v>
      </c>
      <c r="D3" s="23">
        <v>42735</v>
      </c>
    </row>
    <row r="4" spans="1:4" ht="18.75" customHeight="1" thickBot="1">
      <c r="A4" s="13" t="s">
        <v>5</v>
      </c>
      <c r="B4" s="13" t="s">
        <v>10</v>
      </c>
      <c r="C4" s="14">
        <f>SUM(C5:C11)</f>
        <v>91168</v>
      </c>
      <c r="D4" s="14">
        <f>SUM(D5:D11)</f>
        <v>80408</v>
      </c>
    </row>
    <row r="5" spans="1:4" ht="34.5" thickBot="1">
      <c r="A5" s="15" t="s">
        <v>147</v>
      </c>
      <c r="B5" s="15" t="s">
        <v>11</v>
      </c>
      <c r="C5" s="16">
        <v>71330</v>
      </c>
      <c r="D5" s="16">
        <v>63458</v>
      </c>
    </row>
    <row r="6" spans="1:4" ht="45.75" thickBot="1">
      <c r="A6" s="15" t="s">
        <v>148</v>
      </c>
      <c r="B6" s="15" t="s">
        <v>19</v>
      </c>
      <c r="C6" s="16">
        <v>18058</v>
      </c>
      <c r="D6" s="16">
        <v>16855</v>
      </c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/>
      <c r="D8" s="16"/>
    </row>
    <row r="9" spans="1:4" ht="35.25" customHeight="1" thickBot="1">
      <c r="A9" s="15" t="s">
        <v>30</v>
      </c>
      <c r="B9" s="15" t="s">
        <v>31</v>
      </c>
      <c r="C9" s="16">
        <v>107</v>
      </c>
      <c r="D9" s="16">
        <v>93</v>
      </c>
    </row>
    <row r="10" spans="1:4" ht="15.75" thickBot="1">
      <c r="A10" s="15"/>
      <c r="B10" s="15" t="s">
        <v>32</v>
      </c>
      <c r="C10" s="16">
        <v>1673</v>
      </c>
      <c r="D10" s="16">
        <v>2</v>
      </c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16782</v>
      </c>
      <c r="D12" s="14">
        <f>SUM(D13:D15,D19:D22)</f>
        <v>19382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>
        <v>609</v>
      </c>
      <c r="D14" s="16">
        <v>595</v>
      </c>
    </row>
    <row r="15" spans="1:4" ht="15.75" thickBot="1">
      <c r="A15" s="15"/>
      <c r="B15" s="15" t="s">
        <v>48</v>
      </c>
      <c r="C15" s="16">
        <f>SUM(C16:C18)</f>
        <v>7270</v>
      </c>
      <c r="D15" s="16">
        <f>SUM(D16:D18)</f>
        <v>5643</v>
      </c>
    </row>
    <row r="16" spans="1:4" ht="24" customHeight="1" thickBot="1">
      <c r="A16" s="15" t="s">
        <v>49</v>
      </c>
      <c r="B16" s="15" t="s">
        <v>50</v>
      </c>
      <c r="C16" s="16">
        <v>6841</v>
      </c>
      <c r="D16" s="16">
        <v>5065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v>429</v>
      </c>
      <c r="D18" s="16">
        <v>578</v>
      </c>
    </row>
    <row r="19" spans="1:4" ht="46.5" customHeight="1" thickBot="1">
      <c r="A19" s="15" t="s">
        <v>54</v>
      </c>
      <c r="B19" s="15" t="s">
        <v>55</v>
      </c>
      <c r="C19" s="16"/>
      <c r="D19" s="16"/>
    </row>
    <row r="20" spans="1:4" ht="52.5" customHeight="1" thickBot="1">
      <c r="A20" s="15" t="s">
        <v>56</v>
      </c>
      <c r="B20" s="15" t="s">
        <v>57</v>
      </c>
      <c r="C20" s="16">
        <v>3711</v>
      </c>
      <c r="D20" s="16">
        <v>7445</v>
      </c>
    </row>
    <row r="21" spans="1:4" ht="15.75" thickBot="1">
      <c r="A21" s="15" t="s">
        <v>58</v>
      </c>
      <c r="B21" s="15" t="s">
        <v>59</v>
      </c>
      <c r="C21" s="16"/>
      <c r="D21" s="16"/>
    </row>
    <row r="22" spans="1:4" ht="15.75" thickBot="1">
      <c r="A22" s="15"/>
      <c r="B22" s="15" t="s">
        <v>60</v>
      </c>
      <c r="C22" s="16">
        <v>5192</v>
      </c>
      <c r="D22" s="16">
        <v>5699</v>
      </c>
    </row>
    <row r="23" spans="1:4" ht="25.5" customHeight="1" thickBot="1">
      <c r="A23" s="17"/>
      <c r="B23" s="17" t="s">
        <v>61</v>
      </c>
      <c r="C23" s="18">
        <f>C4+C12</f>
        <v>107950</v>
      </c>
      <c r="D23" s="18">
        <f>D4+D12</f>
        <v>99790</v>
      </c>
    </row>
    <row r="24" spans="1:4" ht="15.75" thickBot="1">
      <c r="A24" s="13" t="s">
        <v>5</v>
      </c>
      <c r="B24" s="13" t="s">
        <v>62</v>
      </c>
      <c r="C24" s="14">
        <f>C25+C35+C36</f>
        <v>-14752</v>
      </c>
      <c r="D24" s="14">
        <f>D25+D35+D36</f>
        <v>-14942</v>
      </c>
    </row>
    <row r="25" spans="1:4" ht="15.75" thickBot="1">
      <c r="A25" s="15"/>
      <c r="B25" s="15" t="s">
        <v>63</v>
      </c>
      <c r="C25" s="16">
        <f>SUM(C26:C34)</f>
        <v>-14752</v>
      </c>
      <c r="D25" s="16">
        <f>SUM(D26:D34)</f>
        <v>-14942</v>
      </c>
    </row>
    <row r="26" spans="1:4" ht="15.75" thickBot="1">
      <c r="A26" s="15" t="s">
        <v>64</v>
      </c>
      <c r="B26" s="15" t="s">
        <v>65</v>
      </c>
      <c r="C26" s="16">
        <v>60</v>
      </c>
      <c r="D26" s="16">
        <v>60</v>
      </c>
    </row>
    <row r="27" spans="1:4" ht="15.75" thickBot="1">
      <c r="A27" s="15"/>
      <c r="B27" s="15" t="s">
        <v>66</v>
      </c>
      <c r="C27" s="16"/>
      <c r="D27" s="16"/>
    </row>
    <row r="28" spans="1:4" ht="15.75" thickBot="1">
      <c r="A28" s="15" t="s">
        <v>67</v>
      </c>
      <c r="B28" s="15" t="s">
        <v>68</v>
      </c>
      <c r="C28" s="16">
        <v>-1</v>
      </c>
      <c r="D28" s="16">
        <v>-1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>
        <v>-15001</v>
      </c>
      <c r="D30" s="16">
        <v>-12798</v>
      </c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>
        <v>190</v>
      </c>
      <c r="D32" s="16">
        <v>-2203</v>
      </c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/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107790</v>
      </c>
      <c r="D37" s="14">
        <f>SUM(D38:D39,D44:D48)</f>
        <v>90986</v>
      </c>
    </row>
    <row r="38" spans="1:4" ht="15.75" thickBot="1">
      <c r="A38" s="15" t="s">
        <v>86</v>
      </c>
      <c r="B38" s="15" t="s">
        <v>83</v>
      </c>
      <c r="C38" s="16">
        <v>2744</v>
      </c>
      <c r="D38" s="16">
        <v>2460</v>
      </c>
    </row>
    <row r="39" spans="1:4" ht="15.75" thickBot="1">
      <c r="A39" s="15"/>
      <c r="B39" s="15" t="s">
        <v>88</v>
      </c>
      <c r="C39" s="16">
        <f>SUM(C40:C43)</f>
        <v>46</v>
      </c>
      <c r="D39" s="16">
        <f>SUM(D40:D43)</f>
        <v>26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/>
      <c r="D42" s="16"/>
    </row>
    <row r="43" spans="1:4" ht="18" customHeight="1" thickBot="1">
      <c r="A43" s="15" t="s">
        <v>95</v>
      </c>
      <c r="B43" s="15" t="s">
        <v>96</v>
      </c>
      <c r="C43" s="16">
        <v>46</v>
      </c>
      <c r="D43" s="16">
        <v>26</v>
      </c>
    </row>
    <row r="44" spans="1:4" ht="15.75" thickBot="1">
      <c r="A44" s="15" t="s">
        <v>97</v>
      </c>
      <c r="B44" s="15" t="s">
        <v>98</v>
      </c>
      <c r="C44" s="16">
        <v>105000</v>
      </c>
      <c r="D44" s="16">
        <v>88500</v>
      </c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14912</v>
      </c>
      <c r="D49" s="14">
        <f>SUM(D50:D52,D57:D58,D61:D62)</f>
        <v>23746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/>
      <c r="D51" s="16"/>
    </row>
    <row r="52" spans="1:4" ht="15.75" thickBot="1">
      <c r="A52" s="15"/>
      <c r="B52" s="15" t="s">
        <v>112</v>
      </c>
      <c r="C52" s="16">
        <f>SUM(C53:C56)</f>
        <v>385</v>
      </c>
      <c r="D52" s="16">
        <f>SUM(D53:D56)</f>
        <v>11631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/>
      <c r="D55" s="16"/>
    </row>
    <row r="56" spans="1:4" ht="42" customHeight="1" thickBot="1">
      <c r="A56" s="15" t="s">
        <v>116</v>
      </c>
      <c r="B56" s="15" t="s">
        <v>117</v>
      </c>
      <c r="C56" s="16">
        <v>385</v>
      </c>
      <c r="D56" s="16">
        <v>11631</v>
      </c>
    </row>
    <row r="57" spans="1:4" ht="31.5" customHeight="1" thickBot="1">
      <c r="A57" s="15" t="s">
        <v>118</v>
      </c>
      <c r="B57" s="15" t="s">
        <v>119</v>
      </c>
      <c r="C57" s="16">
        <v>3660</v>
      </c>
      <c r="D57" s="16">
        <v>4054</v>
      </c>
    </row>
    <row r="58" spans="1:4" ht="15.75" thickBot="1">
      <c r="A58" s="15"/>
      <c r="B58" s="15" t="s">
        <v>120</v>
      </c>
      <c r="C58" s="16">
        <f>SUM(C59:C60)</f>
        <v>10867</v>
      </c>
      <c r="D58" s="16">
        <f>SUM(D59:D60)</f>
        <v>8061</v>
      </c>
    </row>
    <row r="59" spans="1:4" ht="15.75" thickBot="1">
      <c r="A59" s="15" t="s">
        <v>121</v>
      </c>
      <c r="B59" s="15" t="s">
        <v>122</v>
      </c>
      <c r="C59" s="16">
        <v>1309</v>
      </c>
      <c r="D59" s="16">
        <v>2840</v>
      </c>
    </row>
    <row r="60" spans="1:4" ht="15.75" thickBot="1">
      <c r="A60" s="15" t="s">
        <v>123</v>
      </c>
      <c r="B60" s="15" t="s">
        <v>124</v>
      </c>
      <c r="C60" s="16">
        <v>9558</v>
      </c>
      <c r="D60" s="16">
        <v>5221</v>
      </c>
    </row>
    <row r="61" spans="1:4" ht="15.75" thickBot="1">
      <c r="A61" s="15" t="s">
        <v>125</v>
      </c>
      <c r="B61" s="15" t="s">
        <v>126</v>
      </c>
      <c r="C61" s="16"/>
      <c r="D61" s="16"/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107950</v>
      </c>
      <c r="D63" s="18">
        <f>D24+D37+D49</f>
        <v>99790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5" ht="12.75" customHeight="1" thickBot="1">
      <c r="A1" s="88" t="s">
        <v>4</v>
      </c>
      <c r="B1" s="88"/>
      <c r="C1" s="88"/>
      <c r="D1" s="88"/>
      <c r="E1" s="64"/>
    </row>
    <row r="2" spans="1:5" ht="20.25" thickBot="1">
      <c r="A2" s="2" t="s">
        <v>5</v>
      </c>
      <c r="B2" s="21" t="s">
        <v>6</v>
      </c>
      <c r="C2" s="28"/>
      <c r="D2" s="28"/>
      <c r="E2" s="64"/>
    </row>
    <row r="3" spans="1:5" ht="15.75" thickBot="1">
      <c r="A3" s="2" t="s">
        <v>5</v>
      </c>
      <c r="B3" s="2" t="s">
        <v>7</v>
      </c>
      <c r="C3" s="28">
        <v>43008</v>
      </c>
      <c r="D3" s="28">
        <v>42735</v>
      </c>
      <c r="E3" s="65"/>
    </row>
    <row r="4" spans="1:5" ht="18.75" customHeight="1" thickBot="1">
      <c r="A4" s="3" t="s">
        <v>5</v>
      </c>
      <c r="B4" s="3" t="s">
        <v>10</v>
      </c>
      <c r="C4" s="4">
        <f>SUM(C5:C11)</f>
        <v>3270</v>
      </c>
      <c r="D4" s="4">
        <f>SUM(D5:D11)</f>
        <v>3334</v>
      </c>
      <c r="E4" s="66"/>
    </row>
    <row r="5" spans="1:5" ht="34.5" thickBot="1">
      <c r="A5" s="5" t="s">
        <v>147</v>
      </c>
      <c r="B5" s="5" t="s">
        <v>11</v>
      </c>
      <c r="C5" s="6">
        <v>36</v>
      </c>
      <c r="D5" s="6">
        <v>38</v>
      </c>
      <c r="E5" s="67"/>
    </row>
    <row r="6" spans="1:5" ht="45.75" thickBot="1">
      <c r="A6" s="5" t="s">
        <v>148</v>
      </c>
      <c r="B6" s="5" t="s">
        <v>19</v>
      </c>
      <c r="C6" s="6">
        <v>2369</v>
      </c>
      <c r="D6" s="6">
        <v>2431</v>
      </c>
      <c r="E6" s="67"/>
    </row>
    <row r="7" spans="1:5" ht="15.75" thickBot="1">
      <c r="A7" s="5" t="s">
        <v>149</v>
      </c>
      <c r="B7" s="5" t="s">
        <v>24</v>
      </c>
      <c r="C7" s="6"/>
      <c r="D7" s="6"/>
      <c r="E7" s="67"/>
    </row>
    <row r="8" spans="1:5" ht="29.25" customHeight="1" thickBot="1">
      <c r="A8" s="5" t="s">
        <v>28</v>
      </c>
      <c r="B8" s="5" t="s">
        <v>29</v>
      </c>
      <c r="C8" s="6">
        <v>5</v>
      </c>
      <c r="D8" s="6">
        <v>5</v>
      </c>
      <c r="E8" s="67"/>
    </row>
    <row r="9" spans="1:5" ht="35.25" customHeight="1" thickBot="1">
      <c r="A9" s="5" t="s">
        <v>30</v>
      </c>
      <c r="B9" s="5" t="s">
        <v>31</v>
      </c>
      <c r="C9" s="6">
        <v>22</v>
      </c>
      <c r="D9" s="6">
        <v>22</v>
      </c>
      <c r="E9" s="67"/>
    </row>
    <row r="10" spans="1:5" ht="15.75" thickBot="1">
      <c r="A10" s="5"/>
      <c r="B10" s="5" t="s">
        <v>32</v>
      </c>
      <c r="C10" s="6">
        <v>838</v>
      </c>
      <c r="D10" s="6">
        <v>838</v>
      </c>
      <c r="E10" s="67"/>
    </row>
    <row r="11" spans="1:5" ht="15.75" thickBot="1">
      <c r="A11" s="5" t="s">
        <v>33</v>
      </c>
      <c r="B11" s="5" t="s">
        <v>34</v>
      </c>
      <c r="C11" s="6"/>
      <c r="D11" s="6"/>
      <c r="E11" s="67"/>
    </row>
    <row r="12" spans="1:5" ht="15.75" thickBot="1">
      <c r="A12" s="3" t="s">
        <v>5</v>
      </c>
      <c r="B12" s="3" t="s">
        <v>35</v>
      </c>
      <c r="C12" s="4">
        <f>SUM(C13:C15,C19:C22)</f>
        <v>7168</v>
      </c>
      <c r="D12" s="4">
        <f>SUM(D13:D15,D19:D22)</f>
        <v>6919</v>
      </c>
      <c r="E12" s="67"/>
    </row>
    <row r="13" spans="1:5" ht="23.25" thickBot="1">
      <c r="A13" s="5" t="s">
        <v>150</v>
      </c>
      <c r="B13" s="5" t="s">
        <v>36</v>
      </c>
      <c r="C13" s="6"/>
      <c r="D13" s="6"/>
      <c r="E13" s="67"/>
    </row>
    <row r="14" spans="1:5" ht="15.75" thickBot="1">
      <c r="A14" s="5" t="s">
        <v>46</v>
      </c>
      <c r="B14" s="5" t="s">
        <v>45</v>
      </c>
      <c r="C14" s="6">
        <v>5017</v>
      </c>
      <c r="D14" s="6">
        <v>4997</v>
      </c>
      <c r="E14" s="67"/>
    </row>
    <row r="15" spans="1:5" ht="15.75" thickBot="1">
      <c r="A15" s="5"/>
      <c r="B15" s="5" t="s">
        <v>48</v>
      </c>
      <c r="C15" s="6">
        <f>SUM(C16:C18)</f>
        <v>1744</v>
      </c>
      <c r="D15" s="6">
        <f>SUM(D16:D18)</f>
        <v>1655</v>
      </c>
      <c r="E15" s="67"/>
    </row>
    <row r="16" spans="1:5" ht="24" customHeight="1" thickBot="1">
      <c r="A16" s="5" t="s">
        <v>49</v>
      </c>
      <c r="B16" s="5" t="s">
        <v>50</v>
      </c>
      <c r="C16" s="6">
        <v>1744</v>
      </c>
      <c r="D16" s="6">
        <v>1649</v>
      </c>
      <c r="E16" s="67"/>
    </row>
    <row r="17" spans="1:5" ht="15.75" thickBot="1">
      <c r="A17" s="5"/>
      <c r="B17" s="5" t="s">
        <v>51</v>
      </c>
      <c r="C17" s="6"/>
      <c r="D17" s="6"/>
      <c r="E17" s="67"/>
    </row>
    <row r="18" spans="1:5" ht="15.75" thickBot="1">
      <c r="A18" s="5" t="s">
        <v>52</v>
      </c>
      <c r="B18" s="5" t="s">
        <v>53</v>
      </c>
      <c r="C18" s="6">
        <v>0</v>
      </c>
      <c r="D18" s="6">
        <v>6</v>
      </c>
      <c r="E18" s="67"/>
    </row>
    <row r="19" spans="1:5" ht="46.5" customHeight="1" thickBot="1">
      <c r="A19" s="5" t="s">
        <v>54</v>
      </c>
      <c r="B19" s="5" t="s">
        <v>55</v>
      </c>
      <c r="C19" s="6"/>
      <c r="D19" s="6"/>
      <c r="E19" s="67"/>
    </row>
    <row r="20" spans="1:5" ht="52.5" customHeight="1" thickBot="1">
      <c r="A20" s="5" t="s">
        <v>56</v>
      </c>
      <c r="B20" s="5" t="s">
        <v>57</v>
      </c>
      <c r="C20" s="6"/>
      <c r="D20" s="6"/>
      <c r="E20" s="67"/>
    </row>
    <row r="21" spans="1:5" ht="15.75" thickBot="1">
      <c r="A21" s="5" t="s">
        <v>58</v>
      </c>
      <c r="B21" s="5" t="s">
        <v>59</v>
      </c>
      <c r="C21" s="6">
        <v>0</v>
      </c>
      <c r="D21" s="6">
        <v>10</v>
      </c>
      <c r="E21" s="67"/>
    </row>
    <row r="22" spans="1:5" ht="15.75" thickBot="1">
      <c r="A22" s="5"/>
      <c r="B22" s="5" t="s">
        <v>60</v>
      </c>
      <c r="C22" s="6">
        <v>407</v>
      </c>
      <c r="D22" s="6">
        <v>257</v>
      </c>
      <c r="E22" s="67"/>
    </row>
    <row r="23" spans="1:5" ht="25.5" customHeight="1" thickBot="1">
      <c r="A23" s="7"/>
      <c r="B23" s="7" t="s">
        <v>61</v>
      </c>
      <c r="C23" s="8">
        <f>C4+C12</f>
        <v>10438</v>
      </c>
      <c r="D23" s="8">
        <f>D4+D12</f>
        <v>10253</v>
      </c>
      <c r="E23" s="66"/>
    </row>
    <row r="24" spans="1:5" ht="15.75" thickBot="1">
      <c r="A24" s="3" t="s">
        <v>5</v>
      </c>
      <c r="B24" s="3" t="s">
        <v>62</v>
      </c>
      <c r="C24" s="4">
        <f>C25+C35+C36</f>
        <v>8822</v>
      </c>
      <c r="D24" s="4">
        <f>D25+D35+D36</f>
        <v>8722</v>
      </c>
      <c r="E24" s="67"/>
    </row>
    <row r="25" spans="1:5" ht="15.75" thickBot="1">
      <c r="A25" s="5"/>
      <c r="B25" s="5" t="s">
        <v>63</v>
      </c>
      <c r="C25" s="6">
        <f>SUM(C26:C34)</f>
        <v>8770</v>
      </c>
      <c r="D25" s="6">
        <v>8670</v>
      </c>
      <c r="E25" s="67"/>
    </row>
    <row r="26" spans="1:5" ht="15.75" thickBot="1">
      <c r="A26" s="5" t="s">
        <v>64</v>
      </c>
      <c r="B26" s="5" t="s">
        <v>65</v>
      </c>
      <c r="C26" s="6">
        <v>11600</v>
      </c>
      <c r="D26" s="6">
        <v>11600</v>
      </c>
      <c r="E26" s="67"/>
    </row>
    <row r="27" spans="1:5" ht="15.75" thickBot="1">
      <c r="A27" s="5"/>
      <c r="B27" s="5" t="s">
        <v>66</v>
      </c>
      <c r="C27" s="6"/>
      <c r="D27" s="6"/>
      <c r="E27" s="67"/>
    </row>
    <row r="28" spans="1:5" ht="15.75" thickBot="1">
      <c r="A28" s="5" t="s">
        <v>67</v>
      </c>
      <c r="B28" s="5" t="s">
        <v>68</v>
      </c>
      <c r="C28" s="6">
        <v>-409</v>
      </c>
      <c r="D28" s="6">
        <v>-409</v>
      </c>
      <c r="E28" s="67"/>
    </row>
    <row r="29" spans="1:5" ht="15.75" thickBot="1">
      <c r="A29" s="5" t="s">
        <v>69</v>
      </c>
      <c r="B29" s="5" t="s">
        <v>70</v>
      </c>
      <c r="C29" s="6"/>
      <c r="D29" s="6"/>
      <c r="E29" s="67"/>
    </row>
    <row r="30" spans="1:5" ht="15.75" thickBot="1">
      <c r="A30" s="5" t="s">
        <v>71</v>
      </c>
      <c r="B30" s="5" t="s">
        <v>72</v>
      </c>
      <c r="C30" s="6">
        <v>-2521</v>
      </c>
      <c r="D30" s="6">
        <f>-2521-D32</f>
        <v>-2164</v>
      </c>
      <c r="E30" s="67"/>
    </row>
    <row r="31" spans="1:5" ht="15.75" thickBot="1">
      <c r="A31" s="5"/>
      <c r="B31" s="5" t="s">
        <v>73</v>
      </c>
      <c r="C31" s="6"/>
      <c r="D31" s="6"/>
      <c r="E31" s="67"/>
    </row>
    <row r="32" spans="1:5" ht="15.75" thickBot="1">
      <c r="A32" s="5"/>
      <c r="B32" s="5" t="s">
        <v>74</v>
      </c>
      <c r="C32" s="6">
        <v>100</v>
      </c>
      <c r="D32" s="6">
        <v>-357</v>
      </c>
      <c r="E32" s="67"/>
    </row>
    <row r="33" spans="1:5" ht="15.75" thickBot="1">
      <c r="A33" s="5" t="s">
        <v>75</v>
      </c>
      <c r="B33" s="5" t="s">
        <v>76</v>
      </c>
      <c r="C33" s="6"/>
      <c r="D33" s="6"/>
      <c r="E33" s="67"/>
    </row>
    <row r="34" spans="1:5" ht="15.75" thickBot="1">
      <c r="A34" s="5"/>
      <c r="B34" s="5" t="s">
        <v>77</v>
      </c>
      <c r="C34" s="6"/>
      <c r="D34" s="6"/>
      <c r="E34" s="67"/>
    </row>
    <row r="35" spans="1:5" ht="15.75" thickBot="1">
      <c r="A35" s="5" t="s">
        <v>78</v>
      </c>
      <c r="B35" s="5" t="s">
        <v>79</v>
      </c>
      <c r="C35" s="6"/>
      <c r="D35" s="6"/>
      <c r="E35" s="67"/>
    </row>
    <row r="36" spans="1:5" ht="15.75" thickBot="1">
      <c r="A36" s="5" t="s">
        <v>80</v>
      </c>
      <c r="B36" s="5" t="s">
        <v>81</v>
      </c>
      <c r="C36" s="6">
        <v>52</v>
      </c>
      <c r="D36" s="6">
        <v>52</v>
      </c>
      <c r="E36" s="67"/>
    </row>
    <row r="37" spans="1:5" ht="15.75" thickBot="1">
      <c r="A37" s="3" t="s">
        <v>5</v>
      </c>
      <c r="B37" s="3" t="s">
        <v>82</v>
      </c>
      <c r="C37" s="4">
        <f>SUM(C38:C39,C44:C48)</f>
        <v>220</v>
      </c>
      <c r="D37" s="4">
        <f>SUM(D38:D39,D44:D48)</f>
        <v>233</v>
      </c>
      <c r="E37" s="68"/>
    </row>
    <row r="38" spans="1:5" ht="15.75" thickBot="1">
      <c r="A38" s="5" t="s">
        <v>86</v>
      </c>
      <c r="B38" s="5" t="s">
        <v>83</v>
      </c>
      <c r="C38" s="6"/>
      <c r="D38" s="6"/>
      <c r="E38" s="67"/>
    </row>
    <row r="39" spans="1:5" ht="15.75" thickBot="1">
      <c r="A39" s="5"/>
      <c r="B39" s="5" t="s">
        <v>88</v>
      </c>
      <c r="C39" s="6">
        <v>151</v>
      </c>
      <c r="D39" s="6">
        <v>153</v>
      </c>
      <c r="E39" s="67"/>
    </row>
    <row r="40" spans="1:5" ht="15.75" thickBot="1">
      <c r="A40" s="5" t="s">
        <v>89</v>
      </c>
      <c r="B40" s="5" t="s">
        <v>90</v>
      </c>
      <c r="C40" s="6"/>
      <c r="D40" s="6"/>
      <c r="E40" s="67"/>
    </row>
    <row r="41" spans="1:5" ht="15.75" thickBot="1">
      <c r="A41" s="5" t="s">
        <v>91</v>
      </c>
      <c r="B41" s="5" t="s">
        <v>92</v>
      </c>
      <c r="C41" s="6"/>
      <c r="D41" s="6"/>
      <c r="E41" s="67"/>
    </row>
    <row r="42" spans="1:5" ht="15.75" thickBot="1">
      <c r="A42" s="5" t="s">
        <v>93</v>
      </c>
      <c r="B42" s="5" t="s">
        <v>94</v>
      </c>
      <c r="C42" s="6"/>
      <c r="D42" s="6"/>
      <c r="E42" s="67"/>
    </row>
    <row r="43" spans="1:5" ht="18" customHeight="1" thickBot="1">
      <c r="A43" s="5" t="s">
        <v>95</v>
      </c>
      <c r="B43" s="5" t="s">
        <v>96</v>
      </c>
      <c r="C43" s="6"/>
      <c r="D43" s="6"/>
      <c r="E43" s="67"/>
    </row>
    <row r="44" spans="1:5" ht="15.75" thickBot="1">
      <c r="A44" s="5" t="s">
        <v>97</v>
      </c>
      <c r="B44" s="5" t="s">
        <v>98</v>
      </c>
      <c r="C44" s="6"/>
      <c r="D44" s="6"/>
      <c r="E44" s="67"/>
    </row>
    <row r="45" spans="1:5" ht="15.75" thickBot="1">
      <c r="A45" s="5" t="s">
        <v>99</v>
      </c>
      <c r="B45" s="5" t="s">
        <v>100</v>
      </c>
      <c r="C45" s="6">
        <v>18</v>
      </c>
      <c r="D45" s="6">
        <v>18</v>
      </c>
      <c r="E45" s="67"/>
    </row>
    <row r="46" spans="1:5" ht="15.75" thickBot="1">
      <c r="A46" s="5" t="s">
        <v>101</v>
      </c>
      <c r="B46" s="5" t="s">
        <v>102</v>
      </c>
      <c r="C46" s="6">
        <v>51</v>
      </c>
      <c r="D46" s="6">
        <v>62</v>
      </c>
      <c r="E46" s="67"/>
    </row>
    <row r="47" spans="1:5" ht="15.75" thickBot="1">
      <c r="A47" s="5" t="s">
        <v>103</v>
      </c>
      <c r="B47" s="5" t="s">
        <v>104</v>
      </c>
      <c r="C47" s="6"/>
      <c r="D47" s="6"/>
      <c r="E47" s="67"/>
    </row>
    <row r="48" spans="1:5" ht="15.75" thickBot="1">
      <c r="A48" s="5" t="s">
        <v>105</v>
      </c>
      <c r="B48" s="5" t="s">
        <v>106</v>
      </c>
      <c r="C48" s="6"/>
      <c r="D48" s="6"/>
      <c r="E48" s="67"/>
    </row>
    <row r="49" spans="1:5" ht="15.75" thickBot="1">
      <c r="A49" s="3" t="s">
        <v>5</v>
      </c>
      <c r="B49" s="3" t="s">
        <v>107</v>
      </c>
      <c r="C49" s="4">
        <f>SUM(C50:C52,C57:C58,C61:C62)</f>
        <v>1396</v>
      </c>
      <c r="D49" s="4">
        <f>SUM(D50:D52,D57:D58,D61:D62)</f>
        <v>1298</v>
      </c>
      <c r="E49" s="67"/>
    </row>
    <row r="50" spans="1:5" ht="15.75" thickBot="1">
      <c r="A50" s="5" t="s">
        <v>108</v>
      </c>
      <c r="B50" s="5" t="s">
        <v>109</v>
      </c>
      <c r="C50" s="6"/>
      <c r="D50" s="6"/>
      <c r="E50" s="67"/>
    </row>
    <row r="51" spans="1:5" ht="15.75" thickBot="1">
      <c r="A51" s="5" t="s">
        <v>111</v>
      </c>
      <c r="B51" s="5" t="s">
        <v>110</v>
      </c>
      <c r="C51" s="6"/>
      <c r="D51" s="6"/>
      <c r="E51" s="67"/>
    </row>
    <row r="52" spans="1:5" ht="15.75" thickBot="1">
      <c r="A52" s="5"/>
      <c r="B52" s="5" t="s">
        <v>112</v>
      </c>
      <c r="C52" s="6">
        <v>7</v>
      </c>
      <c r="D52" s="6">
        <f>SUM(D53:D56)</f>
        <v>7</v>
      </c>
      <c r="E52" s="67"/>
    </row>
    <row r="53" spans="1:5" ht="15.75" thickBot="1">
      <c r="A53" s="5" t="s">
        <v>113</v>
      </c>
      <c r="B53" s="5" t="s">
        <v>90</v>
      </c>
      <c r="C53" s="6"/>
      <c r="D53" s="6"/>
      <c r="E53" s="67"/>
    </row>
    <row r="54" spans="1:5" ht="15.75" thickBot="1">
      <c r="A54" s="5" t="s">
        <v>114</v>
      </c>
      <c r="B54" s="5" t="s">
        <v>92</v>
      </c>
      <c r="C54" s="6"/>
      <c r="D54" s="6"/>
      <c r="E54" s="67"/>
    </row>
    <row r="55" spans="1:5" ht="15.75" thickBot="1">
      <c r="A55" s="5" t="s">
        <v>115</v>
      </c>
      <c r="B55" s="5" t="s">
        <v>94</v>
      </c>
      <c r="C55" s="6"/>
      <c r="D55" s="6"/>
      <c r="E55" s="67"/>
    </row>
    <row r="56" spans="1:5" ht="42" customHeight="1" thickBot="1">
      <c r="A56" s="5" t="s">
        <v>116</v>
      </c>
      <c r="B56" s="5" t="s">
        <v>117</v>
      </c>
      <c r="C56" s="6">
        <v>0</v>
      </c>
      <c r="D56" s="6">
        <v>7</v>
      </c>
      <c r="E56" s="67"/>
    </row>
    <row r="57" spans="1:5" ht="31.5" customHeight="1" thickBot="1">
      <c r="A57" s="5" t="s">
        <v>118</v>
      </c>
      <c r="B57" s="5" t="s">
        <v>119</v>
      </c>
      <c r="C57" s="6"/>
      <c r="D57" s="6"/>
      <c r="E57" s="67"/>
    </row>
    <row r="58" spans="1:5" ht="15.75" thickBot="1">
      <c r="A58" s="5"/>
      <c r="B58" s="5" t="s">
        <v>120</v>
      </c>
      <c r="C58" s="6">
        <f>SUM(C59:C60)</f>
        <v>1389</v>
      </c>
      <c r="D58" s="6">
        <f>SUM(D59:D60)</f>
        <v>1291</v>
      </c>
      <c r="E58" s="67"/>
    </row>
    <row r="59" spans="1:5" ht="15.75" thickBot="1">
      <c r="A59" s="5" t="s">
        <v>121</v>
      </c>
      <c r="B59" s="5" t="s">
        <v>122</v>
      </c>
      <c r="C59" s="6"/>
      <c r="D59" s="6"/>
      <c r="E59" s="67"/>
    </row>
    <row r="60" spans="1:5" ht="15.75" thickBot="1">
      <c r="A60" s="5" t="s">
        <v>123</v>
      </c>
      <c r="B60" s="5" t="s">
        <v>124</v>
      </c>
      <c r="C60" s="6">
        <v>1389</v>
      </c>
      <c r="D60" s="6">
        <v>1291</v>
      </c>
      <c r="E60" s="67"/>
    </row>
    <row r="61" spans="1:5" ht="15.75" thickBot="1">
      <c r="A61" s="5" t="s">
        <v>125</v>
      </c>
      <c r="B61" s="5" t="s">
        <v>126</v>
      </c>
      <c r="C61" s="6"/>
      <c r="D61" s="6"/>
      <c r="E61" s="67"/>
    </row>
    <row r="62" spans="1:5" ht="15.75" thickBot="1">
      <c r="A62" s="5" t="s">
        <v>127</v>
      </c>
      <c r="B62" s="5" t="s">
        <v>128</v>
      </c>
      <c r="C62" s="6"/>
      <c r="D62" s="6"/>
      <c r="E62" s="67"/>
    </row>
    <row r="63" spans="1:5" ht="23.25" customHeight="1" thickBot="1">
      <c r="A63" s="7"/>
      <c r="B63" s="7" t="s">
        <v>129</v>
      </c>
      <c r="C63" s="8">
        <f>C24+C37+C49</f>
        <v>10438</v>
      </c>
      <c r="D63" s="8">
        <f>D24+D37+D49</f>
        <v>10253</v>
      </c>
      <c r="E63" s="6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8" ht="12.75" customHeight="1" thickBot="1">
      <c r="A1" s="89" t="s">
        <v>4</v>
      </c>
      <c r="B1" s="89"/>
      <c r="C1" s="89"/>
      <c r="D1" s="89"/>
      <c r="E1" s="58"/>
      <c r="F1" s="58"/>
      <c r="G1" s="58"/>
      <c r="H1" s="58"/>
    </row>
    <row r="2" spans="1:8" ht="19.5" thickBot="1">
      <c r="A2" s="46" t="s">
        <v>5</v>
      </c>
      <c r="B2" s="46" t="s">
        <v>6</v>
      </c>
      <c r="C2" s="46"/>
      <c r="D2" s="46"/>
      <c r="E2" s="58"/>
      <c r="F2" s="58"/>
      <c r="G2" s="58"/>
      <c r="H2" s="58"/>
    </row>
    <row r="3" spans="1:8" ht="19.5" thickBot="1">
      <c r="A3" s="46" t="s">
        <v>5</v>
      </c>
      <c r="B3" s="46" t="s">
        <v>7</v>
      </c>
      <c r="C3" s="46" t="s">
        <v>8</v>
      </c>
      <c r="D3" s="46" t="s">
        <v>9</v>
      </c>
      <c r="E3" s="58"/>
      <c r="F3" s="58"/>
      <c r="G3" s="58"/>
      <c r="H3" s="58"/>
    </row>
    <row r="4" spans="1:8" ht="18.75" customHeight="1" thickBot="1">
      <c r="A4" s="13" t="s">
        <v>5</v>
      </c>
      <c r="B4" s="13" t="s">
        <v>10</v>
      </c>
      <c r="C4" s="69">
        <v>810.56022</v>
      </c>
      <c r="D4" s="69">
        <f>+D6+D9+D10</f>
        <v>797.626</v>
      </c>
      <c r="E4" s="58"/>
      <c r="F4" s="58"/>
      <c r="G4" s="58"/>
      <c r="H4" s="58"/>
    </row>
    <row r="5" spans="1:8" ht="34.5" thickBot="1">
      <c r="A5" s="15" t="s">
        <v>147</v>
      </c>
      <c r="B5" s="15" t="s">
        <v>11</v>
      </c>
      <c r="C5" s="70"/>
      <c r="D5" s="70"/>
      <c r="E5" s="58"/>
      <c r="F5" s="58"/>
      <c r="G5" s="58"/>
      <c r="H5" s="58"/>
    </row>
    <row r="6" spans="1:8" ht="45.75" thickBot="1">
      <c r="A6" s="15" t="s">
        <v>148</v>
      </c>
      <c r="B6" s="15" t="s">
        <v>19</v>
      </c>
      <c r="C6" s="70">
        <v>364.17903</v>
      </c>
      <c r="D6" s="70">
        <v>351.24</v>
      </c>
      <c r="E6" s="58"/>
      <c r="F6" s="58"/>
      <c r="G6" s="58"/>
      <c r="H6" s="58"/>
    </row>
    <row r="7" spans="1:8" ht="19.5" thickBot="1">
      <c r="A7" s="15" t="s">
        <v>149</v>
      </c>
      <c r="B7" s="15" t="s">
        <v>24</v>
      </c>
      <c r="C7" s="70"/>
      <c r="D7" s="70"/>
      <c r="E7" s="58"/>
      <c r="F7" s="58"/>
      <c r="G7" s="58"/>
      <c r="H7" s="58"/>
    </row>
    <row r="8" spans="1:8" ht="29.25" customHeight="1" thickBot="1">
      <c r="A8" s="15" t="s">
        <v>28</v>
      </c>
      <c r="B8" s="15" t="s">
        <v>29</v>
      </c>
      <c r="C8" s="70"/>
      <c r="D8" s="70"/>
      <c r="E8" s="58"/>
      <c r="F8" s="58"/>
      <c r="G8" s="58"/>
      <c r="H8" s="58"/>
    </row>
    <row r="9" spans="1:8" ht="35.25" customHeight="1" thickBot="1">
      <c r="A9" s="15" t="s">
        <v>30</v>
      </c>
      <c r="B9" s="15" t="s">
        <v>31</v>
      </c>
      <c r="C9" s="70">
        <v>444.106</v>
      </c>
      <c r="D9" s="70">
        <v>444.106</v>
      </c>
      <c r="E9" s="58"/>
      <c r="F9" s="58"/>
      <c r="G9" s="58"/>
      <c r="H9" s="58"/>
    </row>
    <row r="10" spans="1:8" ht="19.5" thickBot="1">
      <c r="A10" s="15"/>
      <c r="B10" s="15" t="s">
        <v>32</v>
      </c>
      <c r="C10" s="70">
        <v>2.2751900000000003</v>
      </c>
      <c r="D10" s="70">
        <v>2.28</v>
      </c>
      <c r="E10" s="58"/>
      <c r="F10" s="58"/>
      <c r="G10" s="58"/>
      <c r="H10" s="58"/>
    </row>
    <row r="11" spans="1:8" ht="19.5" thickBot="1">
      <c r="A11" s="15" t="s">
        <v>33</v>
      </c>
      <c r="B11" s="15" t="s">
        <v>34</v>
      </c>
      <c r="C11" s="70"/>
      <c r="D11" s="70"/>
      <c r="E11" s="58"/>
      <c r="F11" s="58"/>
      <c r="G11" s="58"/>
      <c r="H11" s="58"/>
    </row>
    <row r="12" spans="1:8" ht="19.5" thickBot="1">
      <c r="A12" s="13" t="s">
        <v>5</v>
      </c>
      <c r="B12" s="13" t="s">
        <v>35</v>
      </c>
      <c r="C12" s="69">
        <v>764.28141</v>
      </c>
      <c r="D12" s="69">
        <f>+D13+D14+D15+D19+D20+D21+D22</f>
        <v>842.54</v>
      </c>
      <c r="E12" s="58"/>
      <c r="F12" s="58"/>
      <c r="G12" s="58"/>
      <c r="H12" s="58"/>
    </row>
    <row r="13" spans="1:8" ht="23.25" thickBot="1">
      <c r="A13" s="15" t="s">
        <v>150</v>
      </c>
      <c r="B13" s="15" t="s">
        <v>36</v>
      </c>
      <c r="C13" s="70"/>
      <c r="D13" s="70"/>
      <c r="E13" s="58"/>
      <c r="F13" s="58"/>
      <c r="G13" s="58"/>
      <c r="H13" s="58"/>
    </row>
    <row r="14" spans="1:8" ht="19.5" thickBot="1">
      <c r="A14" s="15" t="s">
        <v>46</v>
      </c>
      <c r="B14" s="15" t="s">
        <v>45</v>
      </c>
      <c r="C14" s="70">
        <v>10.07412</v>
      </c>
      <c r="D14" s="70">
        <v>0.02</v>
      </c>
      <c r="E14" s="58"/>
      <c r="F14" s="58"/>
      <c r="G14" s="58"/>
      <c r="H14" s="58"/>
    </row>
    <row r="15" spans="1:8" ht="19.5" thickBot="1">
      <c r="A15" s="15"/>
      <c r="B15" s="15" t="s">
        <v>48</v>
      </c>
      <c r="C15" s="70">
        <v>618.75744</v>
      </c>
      <c r="D15" s="70">
        <f>+D16+D18</f>
        <v>579.62</v>
      </c>
      <c r="E15" s="58"/>
      <c r="F15" s="58"/>
      <c r="G15" s="58"/>
      <c r="H15" s="58"/>
    </row>
    <row r="16" spans="1:8" ht="24" customHeight="1" thickBot="1">
      <c r="A16" s="15" t="s">
        <v>49</v>
      </c>
      <c r="B16" s="15" t="s">
        <v>50</v>
      </c>
      <c r="C16" s="70">
        <v>163.17551999999998</v>
      </c>
      <c r="D16" s="70">
        <v>182.92</v>
      </c>
      <c r="E16" s="58"/>
      <c r="F16" s="58"/>
      <c r="G16" s="58"/>
      <c r="H16" s="58"/>
    </row>
    <row r="17" spans="1:8" ht="19.5" thickBot="1">
      <c r="A17" s="15"/>
      <c r="B17" s="15" t="s">
        <v>51</v>
      </c>
      <c r="C17" s="70"/>
      <c r="D17" s="70"/>
      <c r="E17" s="58"/>
      <c r="F17" s="58"/>
      <c r="G17" s="58"/>
      <c r="H17" s="58"/>
    </row>
    <row r="18" spans="1:8" ht="19.5" thickBot="1">
      <c r="A18" s="15" t="s">
        <v>52</v>
      </c>
      <c r="B18" s="15" t="s">
        <v>53</v>
      </c>
      <c r="C18" s="70">
        <v>455.58191999999997</v>
      </c>
      <c r="D18" s="70">
        <v>396.7</v>
      </c>
      <c r="E18" s="58"/>
      <c r="F18" s="58"/>
      <c r="G18" s="58"/>
      <c r="H18" s="58"/>
    </row>
    <row r="19" spans="1:8" ht="46.5" customHeight="1" thickBot="1">
      <c r="A19" s="15" t="s">
        <v>54</v>
      </c>
      <c r="B19" s="15" t="s">
        <v>55</v>
      </c>
      <c r="C19" s="70"/>
      <c r="D19" s="70"/>
      <c r="E19" s="58"/>
      <c r="F19" s="58"/>
      <c r="G19" s="58"/>
      <c r="H19" s="58"/>
    </row>
    <row r="20" spans="1:8" ht="52.5" customHeight="1" thickBot="1">
      <c r="A20" s="15" t="s">
        <v>56</v>
      </c>
      <c r="B20" s="15" t="s">
        <v>57</v>
      </c>
      <c r="C20" s="70">
        <v>3.13</v>
      </c>
      <c r="D20" s="70">
        <v>2.58</v>
      </c>
      <c r="E20" s="58"/>
      <c r="F20" s="58"/>
      <c r="G20" s="58"/>
      <c r="H20" s="58"/>
    </row>
    <row r="21" spans="1:8" ht="19.5" thickBot="1">
      <c r="A21" s="15" t="s">
        <v>58</v>
      </c>
      <c r="B21" s="15" t="s">
        <v>59</v>
      </c>
      <c r="C21" s="70">
        <v>0.66857</v>
      </c>
      <c r="D21" s="70">
        <v>2.78</v>
      </c>
      <c r="E21" s="58"/>
      <c r="F21" s="58"/>
      <c r="G21" s="58"/>
      <c r="H21" s="58"/>
    </row>
    <row r="22" spans="1:8" ht="19.5" thickBot="1">
      <c r="A22" s="15"/>
      <c r="B22" s="15" t="s">
        <v>60</v>
      </c>
      <c r="C22" s="70">
        <v>131.65127999999999</v>
      </c>
      <c r="D22" s="70">
        <v>257.54</v>
      </c>
      <c r="E22" s="58"/>
      <c r="F22" s="58"/>
      <c r="G22" s="58"/>
      <c r="H22" s="58"/>
    </row>
    <row r="23" spans="1:8" ht="25.5" customHeight="1" thickBot="1">
      <c r="A23" s="71"/>
      <c r="B23" s="71" t="s">
        <v>61</v>
      </c>
      <c r="C23" s="72">
        <v>1574.84163</v>
      </c>
      <c r="D23" s="72">
        <f>+D12+D4</f>
        <v>1640.166</v>
      </c>
      <c r="E23" s="58"/>
      <c r="F23" s="58"/>
      <c r="G23" s="58"/>
      <c r="H23" s="58"/>
    </row>
    <row r="24" spans="1:8" ht="19.5" thickBot="1">
      <c r="A24" s="13" t="s">
        <v>5</v>
      </c>
      <c r="B24" s="13" t="s">
        <v>62</v>
      </c>
      <c r="C24" s="69">
        <v>688.41185</v>
      </c>
      <c r="D24" s="69">
        <f>+D25+D35+D36</f>
        <v>501.89601000000005</v>
      </c>
      <c r="E24" s="58"/>
      <c r="F24" s="58"/>
      <c r="G24" s="58"/>
      <c r="H24" s="58"/>
    </row>
    <row r="25" spans="1:8" ht="19.5" thickBot="1">
      <c r="A25" s="15"/>
      <c r="B25" s="15" t="s">
        <v>63</v>
      </c>
      <c r="C25" s="70">
        <v>688.41185</v>
      </c>
      <c r="D25" s="70">
        <f>+D26+D28+D32</f>
        <v>501.89601000000005</v>
      </c>
      <c r="E25" s="58"/>
      <c r="F25" s="58"/>
      <c r="G25" s="58"/>
      <c r="H25" s="58"/>
    </row>
    <row r="26" spans="1:8" ht="19.5" thickBot="1">
      <c r="A26" s="15" t="s">
        <v>64</v>
      </c>
      <c r="B26" s="15" t="s">
        <v>65</v>
      </c>
      <c r="C26" s="70">
        <v>60.106010000000005</v>
      </c>
      <c r="D26" s="70">
        <v>60.106010000000005</v>
      </c>
      <c r="E26" s="58"/>
      <c r="F26" s="58"/>
      <c r="G26" s="58"/>
      <c r="H26" s="58"/>
    </row>
    <row r="27" spans="1:8" ht="19.5" thickBot="1">
      <c r="A27" s="15"/>
      <c r="B27" s="15" t="s">
        <v>66</v>
      </c>
      <c r="C27" s="70"/>
      <c r="D27" s="70"/>
      <c r="E27" s="58"/>
      <c r="F27" s="58"/>
      <c r="G27" s="58"/>
      <c r="H27" s="58"/>
    </row>
    <row r="28" spans="1:8" ht="19.5" thickBot="1">
      <c r="A28" s="15" t="s">
        <v>67</v>
      </c>
      <c r="B28" s="15" t="s">
        <v>68</v>
      </c>
      <c r="C28" s="70">
        <v>441.77</v>
      </c>
      <c r="D28" s="70">
        <v>286.88</v>
      </c>
      <c r="E28" s="58"/>
      <c r="F28" s="58"/>
      <c r="G28" s="58"/>
      <c r="H28" s="58"/>
    </row>
    <row r="29" spans="1:8" ht="19.5" thickBot="1">
      <c r="A29" s="15" t="s">
        <v>69</v>
      </c>
      <c r="B29" s="15" t="s">
        <v>70</v>
      </c>
      <c r="C29" s="70"/>
      <c r="D29" s="70"/>
      <c r="E29" s="58"/>
      <c r="F29" s="58"/>
      <c r="G29" s="58"/>
      <c r="H29" s="58"/>
    </row>
    <row r="30" spans="1:8" ht="19.5" thickBot="1">
      <c r="A30" s="15" t="s">
        <v>71</v>
      </c>
      <c r="B30" s="15" t="s">
        <v>72</v>
      </c>
      <c r="C30" s="70"/>
      <c r="D30" s="70"/>
      <c r="E30" s="58"/>
      <c r="F30" s="58"/>
      <c r="G30" s="58"/>
      <c r="H30" s="58"/>
    </row>
    <row r="31" spans="1:8" ht="19.5" thickBot="1">
      <c r="A31" s="15"/>
      <c r="B31" s="15" t="s">
        <v>73</v>
      </c>
      <c r="C31" s="70"/>
      <c r="D31" s="70"/>
      <c r="E31" s="58"/>
      <c r="F31" s="58"/>
      <c r="G31" s="58"/>
      <c r="H31" s="58"/>
    </row>
    <row r="32" spans="1:8" ht="19.5" thickBot="1">
      <c r="A32" s="15"/>
      <c r="B32" s="15" t="s">
        <v>74</v>
      </c>
      <c r="C32" s="70">
        <v>186.53</v>
      </c>
      <c r="D32" s="70">
        <v>154.91</v>
      </c>
      <c r="E32" s="61"/>
      <c r="F32" s="58"/>
      <c r="G32" s="58"/>
      <c r="H32" s="58"/>
    </row>
    <row r="33" spans="1:8" ht="19.5" thickBot="1">
      <c r="A33" s="15" t="s">
        <v>75</v>
      </c>
      <c r="B33" s="15" t="s">
        <v>76</v>
      </c>
      <c r="C33" s="70"/>
      <c r="D33" s="70"/>
      <c r="E33" s="58"/>
      <c r="F33" s="58"/>
      <c r="G33" s="58"/>
      <c r="H33" s="58"/>
    </row>
    <row r="34" spans="1:8" ht="19.5" thickBot="1">
      <c r="A34" s="15"/>
      <c r="B34" s="15" t="s">
        <v>77</v>
      </c>
      <c r="C34" s="70"/>
      <c r="D34" s="70"/>
      <c r="E34" s="58"/>
      <c r="F34" s="58"/>
      <c r="G34" s="58"/>
      <c r="H34" s="58"/>
    </row>
    <row r="35" spans="1:8" ht="19.5" thickBot="1">
      <c r="A35" s="15" t="s">
        <v>78</v>
      </c>
      <c r="B35" s="15" t="s">
        <v>79</v>
      </c>
      <c r="C35" s="70"/>
      <c r="D35" s="70"/>
      <c r="E35" s="58"/>
      <c r="F35" s="58"/>
      <c r="G35" s="58"/>
      <c r="H35" s="58"/>
    </row>
    <row r="36" spans="1:8" ht="19.5" thickBot="1">
      <c r="A36" s="15" t="s">
        <v>80</v>
      </c>
      <c r="B36" s="15" t="s">
        <v>81</v>
      </c>
      <c r="C36" s="70"/>
      <c r="D36" s="70"/>
      <c r="E36" s="58"/>
      <c r="F36" s="58"/>
      <c r="G36" s="58"/>
      <c r="H36" s="58"/>
    </row>
    <row r="37" spans="1:8" ht="19.5" thickBot="1">
      <c r="A37" s="13" t="s">
        <v>5</v>
      </c>
      <c r="B37" s="13" t="s">
        <v>82</v>
      </c>
      <c r="C37" s="69">
        <v>124.47047</v>
      </c>
      <c r="D37" s="69">
        <f>+D39</f>
        <v>124.47</v>
      </c>
      <c r="E37" s="58"/>
      <c r="F37" s="58"/>
      <c r="G37" s="58"/>
      <c r="H37" s="58"/>
    </row>
    <row r="38" spans="1:8" ht="19.5" thickBot="1">
      <c r="A38" s="15" t="s">
        <v>86</v>
      </c>
      <c r="B38" s="15" t="s">
        <v>83</v>
      </c>
      <c r="C38" s="70"/>
      <c r="D38" s="70"/>
      <c r="E38" s="58"/>
      <c r="F38" s="58"/>
      <c r="G38" s="58"/>
      <c r="H38" s="58"/>
    </row>
    <row r="39" spans="1:8" ht="19.5" thickBot="1">
      <c r="A39" s="15"/>
      <c r="B39" s="15" t="s">
        <v>88</v>
      </c>
      <c r="C39" s="70">
        <v>124.47047</v>
      </c>
      <c r="D39" s="70">
        <f>+D41</f>
        <v>124.47</v>
      </c>
      <c r="E39" s="58"/>
      <c r="F39" s="58"/>
      <c r="G39" s="58"/>
      <c r="H39" s="58"/>
    </row>
    <row r="40" spans="1:8" ht="19.5" thickBot="1">
      <c r="A40" s="15" t="s">
        <v>89</v>
      </c>
      <c r="B40" s="15" t="s">
        <v>90</v>
      </c>
      <c r="C40" s="70"/>
      <c r="D40" s="70"/>
      <c r="E40" s="58"/>
      <c r="F40" s="58"/>
      <c r="G40" s="58"/>
      <c r="H40" s="58"/>
    </row>
    <row r="41" spans="1:8" ht="19.5" thickBot="1">
      <c r="A41" s="15" t="s">
        <v>91</v>
      </c>
      <c r="B41" s="15" t="s">
        <v>92</v>
      </c>
      <c r="C41" s="70">
        <v>124.47047</v>
      </c>
      <c r="D41" s="70">
        <v>124.47</v>
      </c>
      <c r="E41" s="58"/>
      <c r="F41" s="58"/>
      <c r="G41" s="58"/>
      <c r="H41" s="58"/>
    </row>
    <row r="42" spans="1:8" ht="19.5" thickBot="1">
      <c r="A42" s="15" t="s">
        <v>93</v>
      </c>
      <c r="B42" s="15" t="s">
        <v>94</v>
      </c>
      <c r="C42" s="70"/>
      <c r="D42" s="70"/>
      <c r="E42" s="58"/>
      <c r="F42" s="58"/>
      <c r="G42" s="58"/>
      <c r="H42" s="58"/>
    </row>
    <row r="43" spans="1:8" ht="18" customHeight="1" thickBot="1">
      <c r="A43" s="15" t="s">
        <v>95</v>
      </c>
      <c r="B43" s="15" t="s">
        <v>96</v>
      </c>
      <c r="C43" s="70"/>
      <c r="D43" s="70"/>
      <c r="E43" s="58"/>
      <c r="F43" s="58"/>
      <c r="G43" s="58"/>
      <c r="H43" s="58"/>
    </row>
    <row r="44" spans="1:8" ht="19.5" thickBot="1">
      <c r="A44" s="15" t="s">
        <v>97</v>
      </c>
      <c r="B44" s="15" t="s">
        <v>98</v>
      </c>
      <c r="C44" s="70"/>
      <c r="D44" s="70"/>
      <c r="E44" s="58"/>
      <c r="F44" s="58"/>
      <c r="G44" s="58"/>
      <c r="H44" s="58"/>
    </row>
    <row r="45" spans="1:8" ht="19.5" thickBot="1">
      <c r="A45" s="15" t="s">
        <v>99</v>
      </c>
      <c r="B45" s="15" t="s">
        <v>100</v>
      </c>
      <c r="C45" s="70"/>
      <c r="D45" s="70"/>
      <c r="E45" s="58"/>
      <c r="F45" s="58"/>
      <c r="G45" s="58"/>
      <c r="H45" s="58"/>
    </row>
    <row r="46" spans="1:8" ht="19.5" thickBot="1">
      <c r="A46" s="15" t="s">
        <v>101</v>
      </c>
      <c r="B46" s="15" t="s">
        <v>102</v>
      </c>
      <c r="C46" s="70"/>
      <c r="D46" s="70"/>
      <c r="E46" s="58"/>
      <c r="F46" s="58"/>
      <c r="G46" s="58"/>
      <c r="H46" s="58"/>
    </row>
    <row r="47" spans="1:8" ht="19.5" thickBot="1">
      <c r="A47" s="15" t="s">
        <v>103</v>
      </c>
      <c r="B47" s="15" t="s">
        <v>104</v>
      </c>
      <c r="C47" s="70"/>
      <c r="D47" s="70"/>
      <c r="E47" s="58"/>
      <c r="F47" s="58"/>
      <c r="G47" s="58"/>
      <c r="H47" s="58"/>
    </row>
    <row r="48" spans="1:8" ht="19.5" thickBot="1">
      <c r="A48" s="15" t="s">
        <v>105</v>
      </c>
      <c r="B48" s="15" t="s">
        <v>106</v>
      </c>
      <c r="C48" s="70"/>
      <c r="D48" s="70"/>
      <c r="E48" s="58"/>
      <c r="F48" s="58"/>
      <c r="G48" s="58"/>
      <c r="H48" s="58"/>
    </row>
    <row r="49" spans="1:8" ht="19.5" thickBot="1">
      <c r="A49" s="13" t="s">
        <v>5</v>
      </c>
      <c r="B49" s="13" t="s">
        <v>107</v>
      </c>
      <c r="C49" s="69">
        <v>761.95931</v>
      </c>
      <c r="D49" s="69">
        <f>+D52+D58+D61</f>
        <v>1013.8</v>
      </c>
      <c r="E49" s="58"/>
      <c r="F49" s="58"/>
      <c r="G49" s="58"/>
      <c r="H49" s="58"/>
    </row>
    <row r="50" spans="1:8" ht="19.5" thickBot="1">
      <c r="A50" s="15" t="s">
        <v>108</v>
      </c>
      <c r="B50" s="15" t="s">
        <v>109</v>
      </c>
      <c r="C50" s="70"/>
      <c r="D50" s="70"/>
      <c r="E50" s="58"/>
      <c r="F50" s="58"/>
      <c r="G50" s="58"/>
      <c r="H50" s="58"/>
    </row>
    <row r="51" spans="1:8" ht="19.5" thickBot="1">
      <c r="A51" s="15" t="s">
        <v>111</v>
      </c>
      <c r="B51" s="15" t="s">
        <v>110</v>
      </c>
      <c r="C51" s="70"/>
      <c r="D51" s="70"/>
      <c r="E51" s="58"/>
      <c r="F51" s="58"/>
      <c r="G51" s="58"/>
      <c r="H51" s="58"/>
    </row>
    <row r="52" spans="1:8" ht="19.5" thickBot="1">
      <c r="A52" s="15"/>
      <c r="B52" s="15" t="s">
        <v>112</v>
      </c>
      <c r="C52" s="70">
        <v>129.86806</v>
      </c>
      <c r="D52" s="70">
        <f>+D54+D56</f>
        <v>254.72</v>
      </c>
      <c r="E52" s="58"/>
      <c r="F52" s="58"/>
      <c r="G52" s="58"/>
      <c r="H52" s="58"/>
    </row>
    <row r="53" spans="1:8" ht="19.5" thickBot="1">
      <c r="A53" s="15" t="s">
        <v>113</v>
      </c>
      <c r="B53" s="15" t="s">
        <v>90</v>
      </c>
      <c r="C53" s="70"/>
      <c r="D53" s="70"/>
      <c r="E53" s="58"/>
      <c r="F53" s="58"/>
      <c r="G53" s="58"/>
      <c r="H53" s="58"/>
    </row>
    <row r="54" spans="1:8" ht="19.5" thickBot="1">
      <c r="A54" s="15" t="s">
        <v>114</v>
      </c>
      <c r="B54" s="15" t="s">
        <v>92</v>
      </c>
      <c r="C54" s="70">
        <v>45.546099999999996</v>
      </c>
      <c r="D54" s="70">
        <v>181.72</v>
      </c>
      <c r="E54" s="58"/>
      <c r="F54" s="58"/>
      <c r="G54" s="58"/>
      <c r="H54" s="58"/>
    </row>
    <row r="55" spans="1:8" ht="19.5" thickBot="1">
      <c r="A55" s="15" t="s">
        <v>115</v>
      </c>
      <c r="B55" s="15" t="s">
        <v>94</v>
      </c>
      <c r="C55" s="70"/>
      <c r="D55" s="70"/>
      <c r="E55" s="58"/>
      <c r="F55" s="58"/>
      <c r="G55" s="58"/>
      <c r="H55" s="58"/>
    </row>
    <row r="56" spans="1:8" ht="42" customHeight="1" thickBot="1">
      <c r="A56" s="15" t="s">
        <v>116</v>
      </c>
      <c r="B56" s="15" t="s">
        <v>117</v>
      </c>
      <c r="C56" s="70">
        <v>84.32196</v>
      </c>
      <c r="D56" s="70">
        <v>73</v>
      </c>
      <c r="E56" s="58"/>
      <c r="F56" s="58"/>
      <c r="G56" s="58"/>
      <c r="H56" s="58"/>
    </row>
    <row r="57" spans="1:8" ht="31.5" customHeight="1" thickBot="1">
      <c r="A57" s="15" t="s">
        <v>118</v>
      </c>
      <c r="B57" s="15" t="s">
        <v>119</v>
      </c>
      <c r="C57" s="70"/>
      <c r="D57" s="70"/>
      <c r="E57" s="58"/>
      <c r="F57" s="58"/>
      <c r="G57" s="58"/>
      <c r="H57" s="58"/>
    </row>
    <row r="58" spans="1:8" ht="19.5" thickBot="1">
      <c r="A58" s="15"/>
      <c r="B58" s="15" t="s">
        <v>120</v>
      </c>
      <c r="C58" s="70">
        <v>623.3841</v>
      </c>
      <c r="D58" s="70">
        <f>+D59+D60</f>
        <v>756.54</v>
      </c>
      <c r="E58" s="58"/>
      <c r="F58" s="58"/>
      <c r="G58" s="58"/>
      <c r="H58" s="58"/>
    </row>
    <row r="59" spans="1:8" ht="19.5" thickBot="1">
      <c r="A59" s="15" t="s">
        <v>121</v>
      </c>
      <c r="B59" s="15" t="s">
        <v>122</v>
      </c>
      <c r="C59" s="70">
        <v>316.685</v>
      </c>
      <c r="D59" s="70">
        <v>500.69</v>
      </c>
      <c r="E59" s="58"/>
      <c r="F59" s="58"/>
      <c r="G59" s="58"/>
      <c r="H59" s="58"/>
    </row>
    <row r="60" spans="1:8" ht="19.5" thickBot="1">
      <c r="A60" s="15" t="s">
        <v>123</v>
      </c>
      <c r="B60" s="15" t="s">
        <v>124</v>
      </c>
      <c r="C60" s="70">
        <v>306.6991</v>
      </c>
      <c r="D60" s="70">
        <v>255.85</v>
      </c>
      <c r="E60" s="58"/>
      <c r="F60" s="58"/>
      <c r="G60" s="58"/>
      <c r="H60" s="58"/>
    </row>
    <row r="61" spans="1:8" ht="19.5" thickBot="1">
      <c r="A61" s="15" t="s">
        <v>125</v>
      </c>
      <c r="B61" s="15" t="s">
        <v>126</v>
      </c>
      <c r="C61" s="70">
        <v>8.70715</v>
      </c>
      <c r="D61" s="70">
        <v>2.54</v>
      </c>
      <c r="E61" s="58"/>
      <c r="F61" s="58"/>
      <c r="G61" s="58"/>
      <c r="H61" s="58"/>
    </row>
    <row r="62" spans="1:8" ht="19.5" thickBot="1">
      <c r="A62" s="15" t="s">
        <v>127</v>
      </c>
      <c r="B62" s="15" t="s">
        <v>128</v>
      </c>
      <c r="C62" s="70"/>
      <c r="D62" s="70"/>
      <c r="E62" s="58"/>
      <c r="F62" s="58"/>
      <c r="G62" s="58"/>
      <c r="H62" s="58"/>
    </row>
    <row r="63" spans="1:8" ht="23.25" customHeight="1" thickBot="1">
      <c r="A63" s="71"/>
      <c r="B63" s="71" t="s">
        <v>129</v>
      </c>
      <c r="C63" s="72">
        <v>1574.84163</v>
      </c>
      <c r="D63" s="72">
        <f>+D49+D37+D24</f>
        <v>1640.16601</v>
      </c>
      <c r="E63" s="58"/>
      <c r="F63" s="58"/>
      <c r="G63" s="58"/>
      <c r="H63" s="5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32" customWidth="1"/>
    <col min="2" max="2" width="85.7109375" style="0" bestFit="1" customWidth="1"/>
    <col min="3" max="3" width="20.7109375" style="0" customWidth="1"/>
    <col min="4" max="4" width="21.28125" style="0" customWidth="1"/>
    <col min="5" max="5" width="19.140625" style="0" customWidth="1"/>
    <col min="6" max="7" width="15.28125" style="0" bestFit="1" customWidth="1"/>
  </cols>
  <sheetData>
    <row r="1" spans="1:4" ht="27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210</v>
      </c>
      <c r="D3" s="12" t="s">
        <v>211</v>
      </c>
    </row>
    <row r="4" spans="1:4" ht="18.75" customHeight="1" thickBot="1">
      <c r="A4" s="29" t="s">
        <v>5</v>
      </c>
      <c r="B4" s="13" t="s">
        <v>10</v>
      </c>
      <c r="C4" s="14">
        <f>SUM(C5:C11)</f>
        <v>21911</v>
      </c>
      <c r="D4" s="14">
        <f>SUM(D5:D11)</f>
        <v>23844</v>
      </c>
    </row>
    <row r="5" spans="1:4" ht="39" thickBot="1">
      <c r="A5" s="30" t="s">
        <v>147</v>
      </c>
      <c r="B5" s="15" t="s">
        <v>11</v>
      </c>
      <c r="C5" s="16">
        <v>44</v>
      </c>
      <c r="D5" s="16">
        <v>39</v>
      </c>
    </row>
    <row r="6" spans="1:4" ht="51.75" thickBot="1">
      <c r="A6" s="30" t="s">
        <v>148</v>
      </c>
      <c r="B6" s="15" t="s">
        <v>19</v>
      </c>
      <c r="C6" s="16">
        <v>19695</v>
      </c>
      <c r="D6" s="16">
        <v>21609</v>
      </c>
    </row>
    <row r="7" spans="1:4" ht="15.75" thickBot="1">
      <c r="A7" s="30" t="s">
        <v>149</v>
      </c>
      <c r="B7" s="15" t="s">
        <v>24</v>
      </c>
      <c r="C7" s="16"/>
      <c r="D7" s="16"/>
    </row>
    <row r="8" spans="1:4" ht="29.25" customHeight="1" thickBot="1">
      <c r="A8" s="30" t="s">
        <v>28</v>
      </c>
      <c r="B8" s="15" t="s">
        <v>29</v>
      </c>
      <c r="C8" s="16"/>
      <c r="D8" s="16"/>
    </row>
    <row r="9" spans="1:4" ht="35.25" customHeight="1" thickBot="1">
      <c r="A9" s="30" t="s">
        <v>30</v>
      </c>
      <c r="B9" s="15" t="s">
        <v>31</v>
      </c>
      <c r="C9" s="16">
        <v>103</v>
      </c>
      <c r="D9" s="16">
        <v>107</v>
      </c>
    </row>
    <row r="10" spans="1:4" ht="15.75" thickBot="1">
      <c r="A10" s="30"/>
      <c r="B10" s="15" t="s">
        <v>32</v>
      </c>
      <c r="C10" s="16">
        <v>2069</v>
      </c>
      <c r="D10" s="16">
        <v>2089</v>
      </c>
    </row>
    <row r="11" spans="1:4" ht="15.75" thickBot="1">
      <c r="A11" s="30" t="s">
        <v>33</v>
      </c>
      <c r="B11" s="15" t="s">
        <v>34</v>
      </c>
      <c r="C11" s="16"/>
      <c r="D11" s="16"/>
    </row>
    <row r="12" spans="1:4" ht="15.75" thickBot="1">
      <c r="A12" s="29" t="s">
        <v>5</v>
      </c>
      <c r="B12" s="13" t="s">
        <v>35</v>
      </c>
      <c r="C12" s="14">
        <f>SUM(C13:C15,C19:C22)</f>
        <v>19268</v>
      </c>
      <c r="D12" s="14">
        <f>SUM(D13:D15,D19:D22)</f>
        <v>15734</v>
      </c>
    </row>
    <row r="13" spans="1:4" ht="26.25" thickBot="1">
      <c r="A13" s="30" t="s">
        <v>150</v>
      </c>
      <c r="B13" s="15" t="s">
        <v>36</v>
      </c>
      <c r="C13" s="16"/>
      <c r="D13" s="16"/>
    </row>
    <row r="14" spans="1:4" ht="15.75" thickBot="1">
      <c r="A14" s="30" t="s">
        <v>46</v>
      </c>
      <c r="B14" s="15" t="s">
        <v>45</v>
      </c>
      <c r="C14" s="16"/>
      <c r="D14" s="16"/>
    </row>
    <row r="15" spans="1:4" ht="15.75" thickBot="1">
      <c r="A15" s="30"/>
      <c r="B15" s="15" t="s">
        <v>48</v>
      </c>
      <c r="C15" s="16">
        <f>SUM(C16:C18)</f>
        <v>4087</v>
      </c>
      <c r="D15" s="16">
        <f>SUM(D16:D18)</f>
        <v>4914</v>
      </c>
    </row>
    <row r="16" spans="1:4" ht="24" customHeight="1" thickBot="1">
      <c r="A16" s="30" t="s">
        <v>49</v>
      </c>
      <c r="B16" s="15" t="s">
        <v>50</v>
      </c>
      <c r="C16" s="16">
        <v>2630</v>
      </c>
      <c r="D16" s="16">
        <v>3390</v>
      </c>
    </row>
    <row r="17" spans="1:4" ht="15.75" thickBot="1">
      <c r="A17" s="30"/>
      <c r="B17" s="15" t="s">
        <v>51</v>
      </c>
      <c r="C17" s="16"/>
      <c r="D17" s="16"/>
    </row>
    <row r="18" spans="1:4" ht="15.75" thickBot="1">
      <c r="A18" s="30" t="s">
        <v>52</v>
      </c>
      <c r="B18" s="15" t="s">
        <v>53</v>
      </c>
      <c r="C18" s="16">
        <f>5+9+1443</f>
        <v>1457</v>
      </c>
      <c r="D18" s="16">
        <f>15+19+1490</f>
        <v>1524</v>
      </c>
    </row>
    <row r="19" spans="1:4" ht="46.5" customHeight="1" thickBot="1">
      <c r="A19" s="30" t="s">
        <v>54</v>
      </c>
      <c r="B19" s="15" t="s">
        <v>55</v>
      </c>
      <c r="C19" s="16"/>
      <c r="D19" s="16"/>
    </row>
    <row r="20" spans="1:4" ht="52.5" customHeight="1" thickBot="1">
      <c r="A20" s="30" t="s">
        <v>56</v>
      </c>
      <c r="B20" s="15" t="s">
        <v>57</v>
      </c>
      <c r="C20" s="16">
        <v>5</v>
      </c>
      <c r="D20" s="16">
        <v>20</v>
      </c>
    </row>
    <row r="21" spans="1:4" ht="15.75" thickBot="1">
      <c r="A21" s="30" t="s">
        <v>58</v>
      </c>
      <c r="B21" s="15" t="s">
        <v>59</v>
      </c>
      <c r="C21" s="16">
        <v>47</v>
      </c>
      <c r="D21" s="16">
        <v>37</v>
      </c>
    </row>
    <row r="22" spans="1:4" ht="15.75" thickBot="1">
      <c r="A22" s="30"/>
      <c r="B22" s="15" t="s">
        <v>60</v>
      </c>
      <c r="C22" s="16">
        <v>15129</v>
      </c>
      <c r="D22" s="16">
        <v>10763</v>
      </c>
    </row>
    <row r="23" spans="1:5" ht="38.25" customHeight="1" thickBot="1">
      <c r="A23" s="17"/>
      <c r="B23" s="17" t="s">
        <v>61</v>
      </c>
      <c r="C23" s="18">
        <f>C4+C12</f>
        <v>41179</v>
      </c>
      <c r="D23" s="18">
        <f>D4+D12</f>
        <v>39578</v>
      </c>
      <c r="E23" s="31"/>
    </row>
    <row r="24" spans="1:5" ht="15.75" thickBot="1">
      <c r="A24" s="29" t="s">
        <v>5</v>
      </c>
      <c r="B24" s="13" t="s">
        <v>62</v>
      </c>
      <c r="C24" s="14">
        <f>C25+C35+C36</f>
        <v>8853</v>
      </c>
      <c r="D24" s="14">
        <f>D25+D35+D36</f>
        <v>11319</v>
      </c>
      <c r="E24" s="31"/>
    </row>
    <row r="25" spans="1:4" ht="15.75" thickBot="1">
      <c r="A25" s="30"/>
      <c r="B25" s="15" t="s">
        <v>63</v>
      </c>
      <c r="C25" s="16">
        <f>SUM(C26:C34)</f>
        <v>1751</v>
      </c>
      <c r="D25" s="16">
        <f>SUM(D26:D34)</f>
        <v>2933</v>
      </c>
    </row>
    <row r="26" spans="1:4" ht="15.75" thickBot="1">
      <c r="A26" s="30" t="s">
        <v>64</v>
      </c>
      <c r="B26" s="15" t="s">
        <v>65</v>
      </c>
      <c r="C26" s="16">
        <v>6342</v>
      </c>
      <c r="D26" s="16">
        <v>6342</v>
      </c>
    </row>
    <row r="27" spans="1:4" ht="15.75" thickBot="1">
      <c r="A27" s="30"/>
      <c r="B27" s="15" t="s">
        <v>66</v>
      </c>
      <c r="C27" s="16">
        <v>275</v>
      </c>
      <c r="D27" s="16">
        <v>275</v>
      </c>
    </row>
    <row r="28" spans="1:4" ht="15.75" thickBot="1">
      <c r="A28" s="30" t="s">
        <v>67</v>
      </c>
      <c r="B28" s="15" t="s">
        <v>68</v>
      </c>
      <c r="C28" s="16">
        <v>7406</v>
      </c>
      <c r="D28" s="16">
        <v>7406</v>
      </c>
    </row>
    <row r="29" spans="1:4" ht="15.75" thickBot="1">
      <c r="A29" s="30" t="s">
        <v>69</v>
      </c>
      <c r="B29" s="15" t="s">
        <v>70</v>
      </c>
      <c r="C29" s="16"/>
      <c r="D29" s="16"/>
    </row>
    <row r="30" spans="1:4" ht="15.75" thickBot="1">
      <c r="A30" s="30" t="s">
        <v>71</v>
      </c>
      <c r="B30" s="15" t="s">
        <v>72</v>
      </c>
      <c r="C30" s="16">
        <v>-11090</v>
      </c>
      <c r="D30" s="16">
        <v>-8600</v>
      </c>
    </row>
    <row r="31" spans="1:4" ht="15.75" thickBot="1">
      <c r="A31" s="30"/>
      <c r="B31" s="15" t="s">
        <v>73</v>
      </c>
      <c r="C31" s="16"/>
      <c r="D31" s="16"/>
    </row>
    <row r="32" spans="1:4" ht="15.75" thickBot="1">
      <c r="A32" s="30"/>
      <c r="B32" s="15" t="s">
        <v>74</v>
      </c>
      <c r="C32" s="16">
        <f>+'[3]D2'!C61</f>
        <v>-1182</v>
      </c>
      <c r="D32" s="16">
        <f>+'[3]D2'!D61</f>
        <v>-2490</v>
      </c>
    </row>
    <row r="33" spans="1:4" ht="15.75" thickBot="1">
      <c r="A33" s="30" t="s">
        <v>75</v>
      </c>
      <c r="B33" s="15" t="s">
        <v>76</v>
      </c>
      <c r="C33" s="16"/>
      <c r="D33" s="16"/>
    </row>
    <row r="34" spans="1:4" ht="15.75" thickBot="1">
      <c r="A34" s="30"/>
      <c r="B34" s="15" t="s">
        <v>77</v>
      </c>
      <c r="C34" s="16"/>
      <c r="D34" s="16"/>
    </row>
    <row r="35" spans="1:4" ht="15.75" thickBot="1">
      <c r="A35" s="30" t="s">
        <v>78</v>
      </c>
      <c r="B35" s="15" t="s">
        <v>79</v>
      </c>
      <c r="C35" s="16"/>
      <c r="D35" s="16"/>
    </row>
    <row r="36" spans="1:4" ht="15.75" thickBot="1">
      <c r="A36" s="30" t="s">
        <v>80</v>
      </c>
      <c r="B36" s="15" t="s">
        <v>81</v>
      </c>
      <c r="C36" s="16">
        <v>7102</v>
      </c>
      <c r="D36" s="16">
        <v>8386</v>
      </c>
    </row>
    <row r="37" spans="1:4" ht="15.75" thickBot="1">
      <c r="A37" s="29" t="s">
        <v>5</v>
      </c>
      <c r="B37" s="13" t="s">
        <v>82</v>
      </c>
      <c r="C37" s="14">
        <f>SUM(C38:C39,C44:C48)</f>
        <v>10301</v>
      </c>
      <c r="D37" s="14">
        <f>SUM(D38:D39,D44:D48)</f>
        <v>10301</v>
      </c>
    </row>
    <row r="38" spans="1:4" ht="15.75" thickBot="1">
      <c r="A38" s="30" t="s">
        <v>86</v>
      </c>
      <c r="B38" s="15" t="s">
        <v>83</v>
      </c>
      <c r="C38" s="16"/>
      <c r="D38" s="16"/>
    </row>
    <row r="39" spans="1:4" ht="15.75" thickBot="1">
      <c r="A39" s="30"/>
      <c r="B39" s="15" t="s">
        <v>88</v>
      </c>
      <c r="C39" s="16">
        <f>SUM(C40:C43)</f>
        <v>0</v>
      </c>
      <c r="D39" s="16">
        <f>SUM(D40:D43)</f>
        <v>0</v>
      </c>
    </row>
    <row r="40" spans="1:4" ht="15.75" thickBot="1">
      <c r="A40" s="30" t="s">
        <v>89</v>
      </c>
      <c r="B40" s="15" t="s">
        <v>90</v>
      </c>
      <c r="C40" s="16"/>
      <c r="D40" s="16"/>
    </row>
    <row r="41" spans="1:4" ht="15.75" thickBot="1">
      <c r="A41" s="30" t="s">
        <v>91</v>
      </c>
      <c r="B41" s="15" t="s">
        <v>92</v>
      </c>
      <c r="C41" s="16"/>
      <c r="D41" s="16"/>
    </row>
    <row r="42" spans="1:4" ht="15.75" thickBot="1">
      <c r="A42" s="30" t="s">
        <v>93</v>
      </c>
      <c r="B42" s="15" t="s">
        <v>94</v>
      </c>
      <c r="C42" s="16"/>
      <c r="D42" s="16"/>
    </row>
    <row r="43" spans="1:4" ht="18" customHeight="1" thickBot="1">
      <c r="A43" s="30" t="s">
        <v>95</v>
      </c>
      <c r="B43" s="15" t="s">
        <v>96</v>
      </c>
      <c r="C43" s="16"/>
      <c r="D43" s="16"/>
    </row>
    <row r="44" spans="1:4" ht="15.75" thickBot="1">
      <c r="A44" s="30" t="s">
        <v>97</v>
      </c>
      <c r="B44" s="15" t="s">
        <v>98</v>
      </c>
      <c r="C44" s="16"/>
      <c r="D44" s="16"/>
    </row>
    <row r="45" spans="1:4" ht="15.75" thickBot="1">
      <c r="A45" s="30" t="s">
        <v>99</v>
      </c>
      <c r="B45" s="15" t="s">
        <v>100</v>
      </c>
      <c r="C45" s="16">
        <v>10301</v>
      </c>
      <c r="D45" s="16">
        <v>10301</v>
      </c>
    </row>
    <row r="46" spans="1:4" ht="15.75" thickBot="1">
      <c r="A46" s="30" t="s">
        <v>101</v>
      </c>
      <c r="B46" s="15" t="s">
        <v>102</v>
      </c>
      <c r="C46" s="16"/>
      <c r="D46" s="16"/>
    </row>
    <row r="47" spans="1:4" ht="15.75" thickBot="1">
      <c r="A47" s="30" t="s">
        <v>103</v>
      </c>
      <c r="B47" s="15" t="s">
        <v>104</v>
      </c>
      <c r="C47" s="16"/>
      <c r="D47" s="16"/>
    </row>
    <row r="48" spans="1:4" ht="15.75" thickBot="1">
      <c r="A48" s="30" t="s">
        <v>105</v>
      </c>
      <c r="B48" s="15" t="s">
        <v>106</v>
      </c>
      <c r="C48" s="16"/>
      <c r="D48" s="16"/>
    </row>
    <row r="49" spans="1:4" ht="15.75" thickBot="1">
      <c r="A49" s="29" t="s">
        <v>5</v>
      </c>
      <c r="B49" s="13" t="s">
        <v>107</v>
      </c>
      <c r="C49" s="14">
        <f>SUM(C50:C52,C57:C58,C61:C62)</f>
        <v>22025</v>
      </c>
      <c r="D49" s="14">
        <f>SUM(D50:D52,D57:D58,D61:D62)</f>
        <v>17958</v>
      </c>
    </row>
    <row r="50" spans="1:4" ht="15.75" thickBot="1">
      <c r="A50" s="30" t="s">
        <v>108</v>
      </c>
      <c r="B50" s="15" t="s">
        <v>109</v>
      </c>
      <c r="C50" s="16"/>
      <c r="D50" s="16"/>
    </row>
    <row r="51" spans="1:4" ht="15.75" thickBot="1">
      <c r="A51" s="30" t="s">
        <v>111</v>
      </c>
      <c r="B51" s="15" t="s">
        <v>110</v>
      </c>
      <c r="C51" s="16">
        <v>11644</v>
      </c>
      <c r="D51" s="16">
        <v>8699</v>
      </c>
    </row>
    <row r="52" spans="1:4" ht="15.75" thickBot="1">
      <c r="A52" s="30"/>
      <c r="B52" s="15" t="s">
        <v>112</v>
      </c>
      <c r="C52" s="16">
        <f>SUM(C53:C56)</f>
        <v>41</v>
      </c>
      <c r="D52" s="16">
        <f>SUM(D53:D56)</f>
        <v>46</v>
      </c>
    </row>
    <row r="53" spans="1:4" ht="15.75" thickBot="1">
      <c r="A53" s="30" t="s">
        <v>113</v>
      </c>
      <c r="B53" s="15" t="s">
        <v>90</v>
      </c>
      <c r="C53" s="16"/>
      <c r="D53" s="16"/>
    </row>
    <row r="54" spans="1:4" ht="15.75" thickBot="1">
      <c r="A54" s="30" t="s">
        <v>114</v>
      </c>
      <c r="B54" s="15" t="s">
        <v>92</v>
      </c>
      <c r="C54" s="16"/>
      <c r="D54" s="16"/>
    </row>
    <row r="55" spans="1:4" ht="15.75" thickBot="1">
      <c r="A55" s="30" t="s">
        <v>115</v>
      </c>
      <c r="B55" s="15" t="s">
        <v>94</v>
      </c>
      <c r="C55" s="16"/>
      <c r="D55" s="16"/>
    </row>
    <row r="56" spans="1:4" ht="42" customHeight="1" thickBot="1">
      <c r="A56" s="30" t="s">
        <v>116</v>
      </c>
      <c r="B56" s="15" t="s">
        <v>117</v>
      </c>
      <c r="C56" s="16">
        <v>41</v>
      </c>
      <c r="D56" s="16">
        <v>46</v>
      </c>
    </row>
    <row r="57" spans="1:4" ht="31.5" customHeight="1" thickBot="1">
      <c r="A57" s="30" t="s">
        <v>118</v>
      </c>
      <c r="B57" s="15" t="s">
        <v>119</v>
      </c>
      <c r="C57" s="16"/>
      <c r="D57" s="16"/>
    </row>
    <row r="58" spans="1:4" ht="15.75" thickBot="1">
      <c r="A58" s="30"/>
      <c r="B58" s="15" t="s">
        <v>120</v>
      </c>
      <c r="C58" s="16">
        <f>SUM(C59:C60)</f>
        <v>9255</v>
      </c>
      <c r="D58" s="16">
        <f>SUM(D59:D60)</f>
        <v>9213</v>
      </c>
    </row>
    <row r="59" spans="1:4" ht="15.75" thickBot="1">
      <c r="A59" s="30" t="s">
        <v>121</v>
      </c>
      <c r="B59" s="15" t="s">
        <v>122</v>
      </c>
      <c r="C59" s="16">
        <v>452</v>
      </c>
      <c r="D59" s="16">
        <v>490</v>
      </c>
    </row>
    <row r="60" spans="1:4" ht="15.75" thickBot="1">
      <c r="A60" s="30" t="s">
        <v>123</v>
      </c>
      <c r="B60" s="15" t="s">
        <v>124</v>
      </c>
      <c r="C60" s="16">
        <f>8771+32</f>
        <v>8803</v>
      </c>
      <c r="D60" s="16">
        <f>19+8704</f>
        <v>8723</v>
      </c>
    </row>
    <row r="61" spans="1:4" ht="15.75" thickBot="1">
      <c r="A61" s="30" t="s">
        <v>125</v>
      </c>
      <c r="B61" s="15" t="s">
        <v>126</v>
      </c>
      <c r="C61" s="16">
        <v>1085</v>
      </c>
      <c r="D61" s="16"/>
    </row>
    <row r="62" spans="1:4" ht="15.75" thickBot="1">
      <c r="A62" s="30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41179</v>
      </c>
      <c r="D63" s="18">
        <f>D24+D37+D49</f>
        <v>39578</v>
      </c>
    </row>
    <row r="64" spans="3:4" ht="15">
      <c r="C64" s="19">
        <f>+C63-C23</f>
        <v>0</v>
      </c>
      <c r="D64" s="19">
        <f>+D63-D23</f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21353.002300000007</v>
      </c>
      <c r="D4" s="14">
        <v>22674.90751000001</v>
      </c>
    </row>
    <row r="5" spans="1:4" ht="34.5" thickBot="1">
      <c r="A5" s="15" t="s">
        <v>147</v>
      </c>
      <c r="B5" s="15" t="s">
        <v>11</v>
      </c>
      <c r="C5" s="16">
        <v>6219.7044000000005</v>
      </c>
      <c r="D5" s="16">
        <v>6567.249110000002</v>
      </c>
    </row>
    <row r="6" spans="1:4" ht="45.75" thickBot="1">
      <c r="A6" s="15" t="s">
        <v>148</v>
      </c>
      <c r="B6" s="15" t="s">
        <v>19</v>
      </c>
      <c r="C6" s="16">
        <v>14714.276400000008</v>
      </c>
      <c r="D6" s="16">
        <v>15787.981540000008</v>
      </c>
    </row>
    <row r="7" spans="1:4" ht="15.75" thickBot="1">
      <c r="A7" s="15" t="s">
        <v>149</v>
      </c>
      <c r="B7" s="15" t="s">
        <v>24</v>
      </c>
      <c r="C7" s="16">
        <v>0</v>
      </c>
      <c r="D7" s="16">
        <v>0</v>
      </c>
    </row>
    <row r="8" spans="1:4" ht="29.25" customHeight="1" thickBot="1">
      <c r="A8" s="15" t="s">
        <v>28</v>
      </c>
      <c r="B8" s="15" t="s">
        <v>29</v>
      </c>
      <c r="C8" s="16">
        <v>4</v>
      </c>
      <c r="D8" s="16">
        <v>4</v>
      </c>
    </row>
    <row r="9" spans="1:4" ht="35.25" customHeight="1" thickBot="1">
      <c r="A9" s="15" t="s">
        <v>30</v>
      </c>
      <c r="B9" s="15" t="s">
        <v>31</v>
      </c>
      <c r="C9" s="16">
        <v>0</v>
      </c>
      <c r="D9" s="16">
        <v>0</v>
      </c>
    </row>
    <row r="10" spans="1:4" ht="15.75" thickBot="1">
      <c r="A10" s="15"/>
      <c r="B10" s="15" t="s">
        <v>32</v>
      </c>
      <c r="C10" s="16">
        <v>415.0215</v>
      </c>
      <c r="D10" s="16">
        <v>315.67686</v>
      </c>
    </row>
    <row r="11" spans="1:4" ht="15.75" thickBot="1">
      <c r="A11" s="15" t="s">
        <v>33</v>
      </c>
      <c r="B11" s="15" t="s">
        <v>34</v>
      </c>
      <c r="C11" s="16"/>
      <c r="D11" s="16">
        <v>0</v>
      </c>
    </row>
    <row r="12" spans="1:4" ht="15.75" thickBot="1">
      <c r="A12" s="13" t="s">
        <v>5</v>
      </c>
      <c r="B12" s="13" t="s">
        <v>35</v>
      </c>
      <c r="C12" s="14">
        <f>SUM(C13:C15,C19:C22)</f>
        <v>9217.55319</v>
      </c>
      <c r="D12" s="14">
        <v>9175.39766</v>
      </c>
    </row>
    <row r="13" spans="1:4" ht="23.25" thickBot="1">
      <c r="A13" s="15" t="s">
        <v>150</v>
      </c>
      <c r="B13" s="15" t="s">
        <v>36</v>
      </c>
      <c r="C13" s="16"/>
      <c r="D13" s="16">
        <v>0</v>
      </c>
    </row>
    <row r="14" spans="1:4" ht="15.75" thickBot="1">
      <c r="A14" s="15" t="s">
        <v>46</v>
      </c>
      <c r="B14" s="15" t="s">
        <v>45</v>
      </c>
      <c r="C14" s="16">
        <v>536.0002900000001</v>
      </c>
      <c r="D14" s="16">
        <v>584.8433299999999</v>
      </c>
    </row>
    <row r="15" spans="1:4" ht="15.75" thickBot="1">
      <c r="A15" s="15"/>
      <c r="B15" s="15" t="s">
        <v>48</v>
      </c>
      <c r="C15" s="16">
        <f>SUM(C16:C18)</f>
        <v>2981.26614</v>
      </c>
      <c r="D15" s="16">
        <v>4075.32817</v>
      </c>
    </row>
    <row r="16" spans="1:4" ht="24" customHeight="1" thickBot="1">
      <c r="A16" s="15" t="s">
        <v>49</v>
      </c>
      <c r="B16" s="15" t="s">
        <v>50</v>
      </c>
      <c r="C16" s="16">
        <v>2763.90794</v>
      </c>
      <c r="D16" s="16">
        <v>4075.32817</v>
      </c>
    </row>
    <row r="17" spans="1:4" ht="15.75" thickBot="1">
      <c r="A17" s="15"/>
      <c r="B17" s="15" t="s">
        <v>51</v>
      </c>
      <c r="C17" s="16"/>
      <c r="D17" s="16">
        <v>0</v>
      </c>
    </row>
    <row r="18" spans="1:4" ht="15.75" thickBot="1">
      <c r="A18" s="15" t="s">
        <v>52</v>
      </c>
      <c r="B18" s="15" t="s">
        <v>53</v>
      </c>
      <c r="C18" s="16">
        <v>217.3582</v>
      </c>
      <c r="D18" s="16">
        <v>0</v>
      </c>
    </row>
    <row r="19" spans="1:4" ht="46.5" customHeight="1" thickBot="1">
      <c r="A19" s="15" t="s">
        <v>54</v>
      </c>
      <c r="B19" s="15" t="s">
        <v>55</v>
      </c>
      <c r="C19" s="16"/>
      <c r="D19" s="16">
        <v>0</v>
      </c>
    </row>
    <row r="20" spans="1:4" ht="52.5" customHeight="1" thickBot="1">
      <c r="A20" s="15" t="s">
        <v>56</v>
      </c>
      <c r="B20" s="15" t="s">
        <v>57</v>
      </c>
      <c r="C20" s="16">
        <v>0</v>
      </c>
      <c r="D20" s="16">
        <v>0</v>
      </c>
    </row>
    <row r="21" spans="1:4" ht="15.75" thickBot="1">
      <c r="A21" s="15" t="s">
        <v>58</v>
      </c>
      <c r="B21" s="15" t="s">
        <v>59</v>
      </c>
      <c r="C21" s="16"/>
      <c r="D21" s="16">
        <v>0</v>
      </c>
    </row>
    <row r="22" spans="1:4" ht="15.75" thickBot="1">
      <c r="A22" s="15"/>
      <c r="B22" s="15" t="s">
        <v>60</v>
      </c>
      <c r="C22" s="16">
        <v>5700.28676</v>
      </c>
      <c r="D22" s="16">
        <v>4515.22616</v>
      </c>
    </row>
    <row r="23" spans="1:4" ht="25.5" customHeight="1" thickBot="1">
      <c r="A23" s="17"/>
      <c r="B23" s="17" t="s">
        <v>61</v>
      </c>
      <c r="C23" s="18">
        <f>C4+C12</f>
        <v>30570.555490000006</v>
      </c>
      <c r="D23" s="18">
        <v>31850.30517000001</v>
      </c>
    </row>
    <row r="24" spans="1:4" ht="15.75" thickBot="1">
      <c r="A24" s="13" t="s">
        <v>5</v>
      </c>
      <c r="B24" s="13" t="s">
        <v>62</v>
      </c>
      <c r="C24" s="14">
        <f>C25+C35+C36</f>
        <v>19851.319440000003</v>
      </c>
      <c r="D24" s="14">
        <v>19681.456190000004</v>
      </c>
    </row>
    <row r="25" spans="1:4" ht="15.75" thickBot="1">
      <c r="A25" s="15"/>
      <c r="B25" s="15" t="s">
        <v>63</v>
      </c>
      <c r="C25" s="16">
        <f>SUM(C26:C34)</f>
        <v>19509.637550000003</v>
      </c>
      <c r="D25" s="16">
        <v>19319.72977</v>
      </c>
    </row>
    <row r="26" spans="1:4" ht="15.75" thickBot="1">
      <c r="A26" s="15" t="s">
        <v>64</v>
      </c>
      <c r="B26" s="15" t="s">
        <v>65</v>
      </c>
      <c r="C26" s="16">
        <v>4753.027099999999</v>
      </c>
      <c r="D26" s="16">
        <v>4753.027099999999</v>
      </c>
    </row>
    <row r="27" spans="1:4" ht="15.75" thickBot="1">
      <c r="A27" s="15"/>
      <c r="B27" s="15" t="s">
        <v>66</v>
      </c>
      <c r="C27" s="16"/>
      <c r="D27" s="16">
        <v>0</v>
      </c>
    </row>
    <row r="28" spans="1:4" ht="15.75" thickBot="1">
      <c r="A28" s="15" t="s">
        <v>67</v>
      </c>
      <c r="B28" s="15" t="s">
        <v>68</v>
      </c>
      <c r="C28" s="16">
        <v>14566.702670000002</v>
      </c>
      <c r="D28" s="16">
        <v>14461.400930000002</v>
      </c>
    </row>
    <row r="29" spans="1:4" ht="15.75" thickBot="1">
      <c r="A29" s="15" t="s">
        <v>69</v>
      </c>
      <c r="B29" s="15" t="s">
        <v>70</v>
      </c>
      <c r="C29" s="16"/>
      <c r="D29" s="16">
        <v>0</v>
      </c>
    </row>
    <row r="30" spans="1:4" ht="15.75" thickBot="1">
      <c r="A30" s="15" t="s">
        <v>71</v>
      </c>
      <c r="B30" s="15" t="s">
        <v>72</v>
      </c>
      <c r="C30" s="16">
        <v>0</v>
      </c>
      <c r="D30" s="16">
        <v>0</v>
      </c>
    </row>
    <row r="31" spans="1:4" ht="15.75" thickBot="1">
      <c r="A31" s="15"/>
      <c r="B31" s="15" t="s">
        <v>73</v>
      </c>
      <c r="C31" s="16"/>
      <c r="D31" s="16">
        <v>0</v>
      </c>
    </row>
    <row r="32" spans="1:4" ht="15.75" thickBot="1">
      <c r="A32" s="15"/>
      <c r="B32" s="15" t="s">
        <v>74</v>
      </c>
      <c r="C32" s="16">
        <v>189.907780000001</v>
      </c>
      <c r="D32" s="16">
        <v>105.30174000000028</v>
      </c>
    </row>
    <row r="33" spans="1:4" ht="15.75" thickBot="1">
      <c r="A33" s="15" t="s">
        <v>75</v>
      </c>
      <c r="B33" s="15" t="s">
        <v>76</v>
      </c>
      <c r="C33" s="16"/>
      <c r="D33" s="16">
        <v>0</v>
      </c>
    </row>
    <row r="34" spans="1:4" ht="15.75" thickBot="1">
      <c r="A34" s="15"/>
      <c r="B34" s="15" t="s">
        <v>77</v>
      </c>
      <c r="C34" s="16"/>
      <c r="D34" s="16">
        <v>0</v>
      </c>
    </row>
    <row r="35" spans="1:4" ht="15.75" thickBot="1">
      <c r="A35" s="15" t="s">
        <v>78</v>
      </c>
      <c r="B35" s="15" t="s">
        <v>79</v>
      </c>
      <c r="C35" s="16"/>
      <c r="D35" s="16">
        <v>0</v>
      </c>
    </row>
    <row r="36" spans="1:4" ht="15.75" thickBot="1">
      <c r="A36" s="15" t="s">
        <v>80</v>
      </c>
      <c r="B36" s="15" t="s">
        <v>81</v>
      </c>
      <c r="C36" s="16">
        <v>341.68189</v>
      </c>
      <c r="D36" s="16">
        <v>361.72641999999996</v>
      </c>
    </row>
    <row r="37" spans="1:4" ht="15.75" thickBot="1">
      <c r="A37" s="13" t="s">
        <v>5</v>
      </c>
      <c r="B37" s="13" t="s">
        <v>82</v>
      </c>
      <c r="C37" s="14">
        <f>SUM(C38:C39,C44:C48)</f>
        <v>9658.003880000002</v>
      </c>
      <c r="D37" s="14">
        <v>9460.306719999999</v>
      </c>
    </row>
    <row r="38" spans="1:4" ht="15.75" thickBot="1">
      <c r="A38" s="15" t="s">
        <v>86</v>
      </c>
      <c r="B38" s="15" t="s">
        <v>83</v>
      </c>
      <c r="C38" s="16">
        <v>9543.4814</v>
      </c>
      <c r="D38" s="16">
        <v>9339.10327</v>
      </c>
    </row>
    <row r="39" spans="1:4" ht="15.75" thickBot="1">
      <c r="A39" s="15"/>
      <c r="B39" s="15" t="s">
        <v>88</v>
      </c>
      <c r="C39" s="16">
        <f>SUM(C40:C43)</f>
        <v>0.629</v>
      </c>
      <c r="D39" s="16">
        <v>0.629</v>
      </c>
    </row>
    <row r="40" spans="1:4" ht="15.75" thickBot="1">
      <c r="A40" s="15" t="s">
        <v>89</v>
      </c>
      <c r="B40" s="15" t="s">
        <v>90</v>
      </c>
      <c r="C40" s="16"/>
      <c r="D40" s="16">
        <v>0</v>
      </c>
    </row>
    <row r="41" spans="1:4" ht="15.75" thickBot="1">
      <c r="A41" s="15" t="s">
        <v>91</v>
      </c>
      <c r="B41" s="15" t="s">
        <v>92</v>
      </c>
      <c r="C41" s="16"/>
      <c r="D41" s="16">
        <v>0</v>
      </c>
    </row>
    <row r="42" spans="1:4" ht="15.75" thickBot="1">
      <c r="A42" s="15" t="s">
        <v>93</v>
      </c>
      <c r="B42" s="15" t="s">
        <v>94</v>
      </c>
      <c r="C42" s="16"/>
      <c r="D42" s="16">
        <v>0</v>
      </c>
    </row>
    <row r="43" spans="1:4" ht="18" customHeight="1" thickBot="1">
      <c r="A43" s="15" t="s">
        <v>95</v>
      </c>
      <c r="B43" s="15" t="s">
        <v>96</v>
      </c>
      <c r="C43" s="16">
        <v>0.629</v>
      </c>
      <c r="D43" s="16">
        <v>0.629</v>
      </c>
    </row>
    <row r="44" spans="1:4" ht="15.75" thickBot="1">
      <c r="A44" s="15" t="s">
        <v>97</v>
      </c>
      <c r="B44" s="15" t="s">
        <v>98</v>
      </c>
      <c r="C44" s="16"/>
      <c r="D44" s="16">
        <v>0</v>
      </c>
    </row>
    <row r="45" spans="1:4" ht="15.75" thickBot="1">
      <c r="A45" s="15" t="s">
        <v>99</v>
      </c>
      <c r="B45" s="15" t="s">
        <v>100</v>
      </c>
      <c r="C45" s="16">
        <v>113.89348</v>
      </c>
      <c r="D45" s="16">
        <v>120.57445</v>
      </c>
    </row>
    <row r="46" spans="1:4" ht="15.75" thickBot="1">
      <c r="A46" s="15" t="s">
        <v>101</v>
      </c>
      <c r="B46" s="15" t="s">
        <v>102</v>
      </c>
      <c r="C46" s="16"/>
      <c r="D46" s="16">
        <v>0</v>
      </c>
    </row>
    <row r="47" spans="1:4" ht="15.75" thickBot="1">
      <c r="A47" s="15" t="s">
        <v>103</v>
      </c>
      <c r="B47" s="15" t="s">
        <v>104</v>
      </c>
      <c r="C47" s="16"/>
      <c r="D47" s="16">
        <v>0</v>
      </c>
    </row>
    <row r="48" spans="1:4" ht="15.75" thickBot="1">
      <c r="A48" s="15" t="s">
        <v>105</v>
      </c>
      <c r="B48" s="15" t="s">
        <v>106</v>
      </c>
      <c r="C48" s="16"/>
      <c r="D48" s="16">
        <v>0</v>
      </c>
    </row>
    <row r="49" spans="1:4" ht="15.75" thickBot="1">
      <c r="A49" s="13" t="s">
        <v>5</v>
      </c>
      <c r="B49" s="13" t="s">
        <v>107</v>
      </c>
      <c r="C49" s="14">
        <f>SUM(C50:C52,C57:C58,C61:C62)</f>
        <v>1061.23217</v>
      </c>
      <c r="D49" s="14">
        <v>2708.5422599999997</v>
      </c>
    </row>
    <row r="50" spans="1:4" ht="15.75" thickBot="1">
      <c r="A50" s="15" t="s">
        <v>108</v>
      </c>
      <c r="B50" s="15" t="s">
        <v>109</v>
      </c>
      <c r="C50" s="16"/>
      <c r="D50" s="16">
        <v>0</v>
      </c>
    </row>
    <row r="51" spans="1:4" ht="15.75" thickBot="1">
      <c r="A51" s="15" t="s">
        <v>111</v>
      </c>
      <c r="B51" s="15" t="s">
        <v>110</v>
      </c>
      <c r="C51" s="16">
        <v>0</v>
      </c>
      <c r="D51" s="16">
        <v>0</v>
      </c>
    </row>
    <row r="52" spans="1:4" ht="15.75" thickBot="1">
      <c r="A52" s="15"/>
      <c r="B52" s="15" t="s">
        <v>112</v>
      </c>
      <c r="C52" s="16">
        <f>SUM(C53:C56)</f>
        <v>0</v>
      </c>
      <c r="D52" s="16">
        <v>0</v>
      </c>
    </row>
    <row r="53" spans="1:4" ht="15.75" thickBot="1">
      <c r="A53" s="15" t="s">
        <v>113</v>
      </c>
      <c r="B53" s="15" t="s">
        <v>90</v>
      </c>
      <c r="C53" s="16"/>
      <c r="D53" s="16">
        <v>0</v>
      </c>
    </row>
    <row r="54" spans="1:4" ht="15.75" thickBot="1">
      <c r="A54" s="15" t="s">
        <v>114</v>
      </c>
      <c r="B54" s="15" t="s">
        <v>92</v>
      </c>
      <c r="C54" s="16"/>
      <c r="D54" s="16">
        <v>0</v>
      </c>
    </row>
    <row r="55" spans="1:4" ht="15.75" thickBot="1">
      <c r="A55" s="15" t="s">
        <v>115</v>
      </c>
      <c r="B55" s="15" t="s">
        <v>94</v>
      </c>
      <c r="C55" s="16"/>
      <c r="D55" s="16">
        <v>0</v>
      </c>
    </row>
    <row r="56" spans="1:4" ht="42" customHeight="1" thickBot="1">
      <c r="A56" s="15" t="s">
        <v>116</v>
      </c>
      <c r="B56" s="15" t="s">
        <v>117</v>
      </c>
      <c r="C56" s="16"/>
      <c r="D56" s="16">
        <v>0</v>
      </c>
    </row>
    <row r="57" spans="1:4" ht="31.5" customHeight="1" thickBot="1">
      <c r="A57" s="15" t="s">
        <v>118</v>
      </c>
      <c r="B57" s="15" t="s">
        <v>119</v>
      </c>
      <c r="C57" s="16">
        <v>633.93494</v>
      </c>
      <c r="D57" s="16">
        <v>1949.12269</v>
      </c>
    </row>
    <row r="58" spans="1:4" ht="15.75" thickBot="1">
      <c r="A58" s="15"/>
      <c r="B58" s="15" t="s">
        <v>120</v>
      </c>
      <c r="C58" s="16">
        <f>SUM(C59:C60)</f>
        <v>427.29723</v>
      </c>
      <c r="D58" s="16">
        <v>759.41957</v>
      </c>
    </row>
    <row r="59" spans="1:4" ht="15.75" thickBot="1">
      <c r="A59" s="15" t="s">
        <v>121</v>
      </c>
      <c r="B59" s="15" t="s">
        <v>122</v>
      </c>
      <c r="C59" s="16">
        <v>147.46654</v>
      </c>
      <c r="D59" s="16">
        <v>302.40654000000006</v>
      </c>
    </row>
    <row r="60" spans="1:4" ht="15.75" thickBot="1">
      <c r="A60" s="15" t="s">
        <v>123</v>
      </c>
      <c r="B60" s="15" t="s">
        <v>124</v>
      </c>
      <c r="C60" s="16">
        <v>279.83069</v>
      </c>
      <c r="D60" s="16">
        <v>457.01303</v>
      </c>
    </row>
    <row r="61" spans="1:4" ht="15.75" thickBot="1">
      <c r="A61" s="15" t="s">
        <v>125</v>
      </c>
      <c r="B61" s="15" t="s">
        <v>126</v>
      </c>
      <c r="C61" s="16"/>
      <c r="D61" s="16">
        <v>0</v>
      </c>
    </row>
    <row r="62" spans="1:4" ht="15.75" thickBot="1">
      <c r="A62" s="15" t="s">
        <v>127</v>
      </c>
      <c r="B62" s="15" t="s">
        <v>128</v>
      </c>
      <c r="C62" s="16"/>
      <c r="D62" s="16">
        <v>0</v>
      </c>
    </row>
    <row r="63" spans="1:4" ht="23.25" customHeight="1" thickBot="1">
      <c r="A63" s="17"/>
      <c r="B63" s="17" t="s">
        <v>129</v>
      </c>
      <c r="C63" s="18">
        <f>C24+C37+C49</f>
        <v>30570.555490000002</v>
      </c>
      <c r="D63" s="18">
        <v>31850.305170000003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68.8515625" style="0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1131.07769</v>
      </c>
      <c r="D4" s="14">
        <f>SUM(D5:D11)</f>
        <v>1281.22249</v>
      </c>
    </row>
    <row r="5" spans="1:4" ht="34.5" thickBot="1">
      <c r="A5" s="15" t="s">
        <v>147</v>
      </c>
      <c r="B5" s="15" t="s">
        <v>11</v>
      </c>
      <c r="C5" s="16">
        <f>47286.43/1000</f>
        <v>47.28643</v>
      </c>
      <c r="D5" s="16">
        <f>79135.07/1000</f>
        <v>79.13507000000001</v>
      </c>
    </row>
    <row r="6" spans="1:4" ht="45.75" thickBot="1">
      <c r="A6" s="15" t="s">
        <v>148</v>
      </c>
      <c r="B6" s="15" t="s">
        <v>19</v>
      </c>
      <c r="C6" s="16">
        <f>923048.3/1000</f>
        <v>923.0483</v>
      </c>
      <c r="D6" s="16">
        <f>1045618.06/1000</f>
        <v>1045.61806</v>
      </c>
    </row>
    <row r="7" spans="1:4" ht="15.75" thickBot="1">
      <c r="A7" s="15" t="s">
        <v>149</v>
      </c>
      <c r="B7" s="15" t="s">
        <v>24</v>
      </c>
      <c r="C7" s="16">
        <v>0</v>
      </c>
      <c r="D7" s="16">
        <v>0</v>
      </c>
    </row>
    <row r="8" spans="1:4" ht="29.25" customHeight="1" thickBot="1">
      <c r="A8" s="15" t="s">
        <v>28</v>
      </c>
      <c r="B8" s="15" t="s">
        <v>29</v>
      </c>
      <c r="C8" s="16">
        <v>0</v>
      </c>
      <c r="D8" s="16">
        <v>0</v>
      </c>
    </row>
    <row r="9" spans="1:4" ht="35.25" customHeight="1" thickBot="1">
      <c r="A9" s="15" t="s">
        <v>30</v>
      </c>
      <c r="B9" s="15" t="s">
        <v>31</v>
      </c>
      <c r="C9" s="16">
        <f>74356.24/1000</f>
        <v>74.35624</v>
      </c>
      <c r="D9" s="16">
        <f>61571.24/1000</f>
        <v>61.571239999999996</v>
      </c>
    </row>
    <row r="10" spans="1:4" ht="15.75" thickBot="1">
      <c r="A10" s="15"/>
      <c r="B10" s="15" t="s">
        <v>32</v>
      </c>
      <c r="C10" s="16">
        <f>86386.72/1000</f>
        <v>86.38672</v>
      </c>
      <c r="D10" s="16">
        <f>94898.12/1000</f>
        <v>94.89811999999999</v>
      </c>
    </row>
    <row r="11" spans="1:4" ht="15.75" thickBot="1">
      <c r="A11" s="15" t="s">
        <v>33</v>
      </c>
      <c r="B11" s="15" t="s">
        <v>34</v>
      </c>
      <c r="C11" s="16">
        <v>0</v>
      </c>
      <c r="D11" s="16">
        <v>0</v>
      </c>
    </row>
    <row r="12" spans="1:4" ht="15.75" thickBot="1">
      <c r="A12" s="13" t="s">
        <v>5</v>
      </c>
      <c r="B12" s="13" t="s">
        <v>35</v>
      </c>
      <c r="C12" s="14">
        <f>SUM(C13:C15,C19:C22)</f>
        <v>9895.54505</v>
      </c>
      <c r="D12" s="14">
        <f>SUM(D13:D15,D19:D22)</f>
        <v>11399.285559999998</v>
      </c>
    </row>
    <row r="13" spans="1:4" ht="23.25" thickBot="1">
      <c r="A13" s="15" t="s">
        <v>150</v>
      </c>
      <c r="B13" s="15" t="s">
        <v>36</v>
      </c>
      <c r="C13" s="16">
        <v>0</v>
      </c>
      <c r="D13" s="16">
        <v>0</v>
      </c>
    </row>
    <row r="14" spans="1:4" ht="15.75" thickBot="1">
      <c r="A14" s="15" t="s">
        <v>46</v>
      </c>
      <c r="B14" s="15" t="s">
        <v>45</v>
      </c>
      <c r="C14" s="16">
        <f>389706.67/1000</f>
        <v>389.70667</v>
      </c>
      <c r="D14" s="16">
        <v>281.84221</v>
      </c>
    </row>
    <row r="15" spans="1:4" ht="15.75" thickBot="1">
      <c r="A15" s="15"/>
      <c r="B15" s="15" t="s">
        <v>48</v>
      </c>
      <c r="C15" s="16">
        <f>SUM(C16:C18)</f>
        <v>8131.485320000001</v>
      </c>
      <c r="D15" s="16">
        <f>SUM(D16:D18)</f>
        <v>8793.197759999997</v>
      </c>
    </row>
    <row r="16" spans="1:5" ht="24" customHeight="1" thickBot="1">
      <c r="A16" s="15" t="s">
        <v>49</v>
      </c>
      <c r="B16" s="15" t="s">
        <v>50</v>
      </c>
      <c r="C16" s="16">
        <f>8128846.57/1000</f>
        <v>8128.846570000001</v>
      </c>
      <c r="D16" s="16">
        <f>(8737055.01+45165.04)/1000</f>
        <v>8782.220049999998</v>
      </c>
      <c r="E16" s="19"/>
    </row>
    <row r="17" spans="1:4" ht="15.75" thickBot="1">
      <c r="A17" s="15"/>
      <c r="B17" s="15" t="s">
        <v>51</v>
      </c>
      <c r="C17" s="16">
        <v>0</v>
      </c>
      <c r="D17" s="16">
        <v>0</v>
      </c>
    </row>
    <row r="18" spans="1:4" ht="15.75" thickBot="1">
      <c r="A18" s="15" t="s">
        <v>52</v>
      </c>
      <c r="B18" s="15" t="s">
        <v>53</v>
      </c>
      <c r="C18" s="16">
        <f>2638.75/1000</f>
        <v>2.63875</v>
      </c>
      <c r="D18" s="16">
        <f>+((3530.83+6446.88)/1000)+1</f>
        <v>10.977709999999998</v>
      </c>
    </row>
    <row r="19" spans="1:5" ht="46.5" customHeight="1" thickBot="1">
      <c r="A19" s="15" t="s">
        <v>54</v>
      </c>
      <c r="B19" s="15" t="s">
        <v>55</v>
      </c>
      <c r="C19" s="16">
        <v>0</v>
      </c>
      <c r="D19" s="16">
        <f>745551.89/1000</f>
        <v>745.55189</v>
      </c>
      <c r="E19" s="19"/>
    </row>
    <row r="20" spans="1:4" ht="52.5" customHeight="1" thickBot="1">
      <c r="A20" s="15" t="s">
        <v>56</v>
      </c>
      <c r="B20" s="15" t="s">
        <v>57</v>
      </c>
      <c r="C20" s="16">
        <f>2995.85/1000</f>
        <v>2.99585</v>
      </c>
      <c r="D20" s="16">
        <f>8296.22/1000</f>
        <v>8.29622</v>
      </c>
    </row>
    <row r="21" spans="1:4" ht="15.75" thickBot="1">
      <c r="A21" s="15" t="s">
        <v>58</v>
      </c>
      <c r="B21" s="15" t="s">
        <v>59</v>
      </c>
      <c r="C21" s="16">
        <v>0</v>
      </c>
      <c r="D21" s="16">
        <v>0</v>
      </c>
    </row>
    <row r="22" spans="1:4" ht="15.75" thickBot="1">
      <c r="A22" s="15"/>
      <c r="B22" s="15" t="s">
        <v>60</v>
      </c>
      <c r="C22" s="16">
        <f>1371357.21/1000</f>
        <v>1371.35721</v>
      </c>
      <c r="D22" s="16">
        <f>1570397.48/1000</f>
        <v>1570.39748</v>
      </c>
    </row>
    <row r="23" spans="1:4" ht="25.5" customHeight="1" thickBot="1">
      <c r="A23" s="17"/>
      <c r="B23" s="17" t="s">
        <v>61</v>
      </c>
      <c r="C23" s="18">
        <f>C4+C12</f>
        <v>11026.62274</v>
      </c>
      <c r="D23" s="18">
        <f>D4+D12</f>
        <v>12680.508049999999</v>
      </c>
    </row>
    <row r="24" spans="1:4" ht="15.75" thickBot="1">
      <c r="A24" s="13" t="s">
        <v>5</v>
      </c>
      <c r="B24" s="13" t="s">
        <v>62</v>
      </c>
      <c r="C24" s="14">
        <f>C25+C35+C36</f>
        <v>4736.595609999999</v>
      </c>
      <c r="D24" s="14">
        <f>D25+D35+D36</f>
        <v>4413.2288499999995</v>
      </c>
    </row>
    <row r="25" spans="1:4" ht="15.75" thickBot="1">
      <c r="A25" s="15"/>
      <c r="B25" s="15" t="s">
        <v>63</v>
      </c>
      <c r="C25" s="16">
        <f>SUM(C26:C34)</f>
        <v>4736.595609999999</v>
      </c>
      <c r="D25" s="16">
        <f>SUM(D26:D34)</f>
        <v>4413.2288499999995</v>
      </c>
    </row>
    <row r="26" spans="1:4" ht="15.75" thickBot="1">
      <c r="A26" s="15" t="s">
        <v>64</v>
      </c>
      <c r="B26" s="15" t="s">
        <v>65</v>
      </c>
      <c r="C26" s="16">
        <f>1188156.84/1000</f>
        <v>1188.15684</v>
      </c>
      <c r="D26" s="16">
        <f>1188156.84/1000</f>
        <v>1188.15684</v>
      </c>
    </row>
    <row r="27" spans="1:5" ht="15.75" thickBot="1">
      <c r="A27" s="15"/>
      <c r="B27" s="15" t="s">
        <v>66</v>
      </c>
      <c r="C27" s="16">
        <f>164863.4/1000</f>
        <v>164.86339999999998</v>
      </c>
      <c r="D27" s="16">
        <f>164863.4/1000</f>
        <v>164.86339999999998</v>
      </c>
      <c r="E27" s="19"/>
    </row>
    <row r="28" spans="1:4" ht="15.75" thickBot="1">
      <c r="A28" s="15" t="s">
        <v>67</v>
      </c>
      <c r="B28" s="15" t="s">
        <v>68</v>
      </c>
      <c r="C28" s="16">
        <f>3041657.55/1000</f>
        <v>3041.65755</v>
      </c>
      <c r="D28" s="16">
        <f>2401641.57/1000</f>
        <v>2401.64157</v>
      </c>
    </row>
    <row r="29" spans="1:4" ht="15.75" thickBot="1">
      <c r="A29" s="15" t="s">
        <v>69</v>
      </c>
      <c r="B29" s="15" t="s">
        <v>70</v>
      </c>
      <c r="C29" s="16">
        <v>0</v>
      </c>
      <c r="D29" s="16">
        <v>0</v>
      </c>
    </row>
    <row r="30" spans="1:4" ht="15.75" thickBot="1">
      <c r="A30" s="15" t="s">
        <v>71</v>
      </c>
      <c r="B30" s="15" t="s">
        <v>72</v>
      </c>
      <c r="C30" s="16">
        <v>0</v>
      </c>
      <c r="D30" s="16">
        <v>0</v>
      </c>
    </row>
    <row r="31" spans="1:4" ht="15.75" thickBot="1">
      <c r="A31" s="15"/>
      <c r="B31" s="15" t="s">
        <v>73</v>
      </c>
      <c r="C31" s="16">
        <v>0</v>
      </c>
      <c r="D31" s="16">
        <v>0</v>
      </c>
    </row>
    <row r="32" spans="1:4" ht="15.75" thickBot="1">
      <c r="A32" s="15"/>
      <c r="B32" s="15" t="s">
        <v>74</v>
      </c>
      <c r="C32" s="16">
        <f>341917.82/1000</f>
        <v>341.91782</v>
      </c>
      <c r="D32" s="16">
        <f>658567.04/1000</f>
        <v>658.56704</v>
      </c>
    </row>
    <row r="33" spans="1:4" ht="15.75" thickBot="1">
      <c r="A33" s="15" t="s">
        <v>75</v>
      </c>
      <c r="B33" s="15" t="s">
        <v>76</v>
      </c>
      <c r="C33" s="16">
        <v>0</v>
      </c>
      <c r="D33" s="16">
        <v>0</v>
      </c>
    </row>
    <row r="34" spans="1:4" ht="15.75" thickBot="1">
      <c r="A34" s="15"/>
      <c r="B34" s="15" t="s">
        <v>77</v>
      </c>
      <c r="C34" s="16">
        <v>0</v>
      </c>
      <c r="D34" s="16">
        <v>0</v>
      </c>
    </row>
    <row r="35" spans="1:4" ht="15.75" thickBot="1">
      <c r="A35" s="15" t="s">
        <v>78</v>
      </c>
      <c r="B35" s="15" t="s">
        <v>79</v>
      </c>
      <c r="C35" s="16">
        <v>0</v>
      </c>
      <c r="D35" s="16">
        <v>0</v>
      </c>
    </row>
    <row r="36" spans="1:4" ht="15.75" thickBot="1">
      <c r="A36" s="15" t="s">
        <v>80</v>
      </c>
      <c r="B36" s="15" t="s">
        <v>81</v>
      </c>
      <c r="C36" s="16">
        <v>0</v>
      </c>
      <c r="D36" s="16">
        <v>0</v>
      </c>
    </row>
    <row r="37" spans="1:4" ht="15.75" thickBot="1">
      <c r="A37" s="13" t="s">
        <v>5</v>
      </c>
      <c r="B37" s="13" t="s">
        <v>82</v>
      </c>
      <c r="C37" s="14">
        <f>SUM(C38:C39,C44:C48)</f>
        <v>96.23511</v>
      </c>
      <c r="D37" s="14">
        <f>SUM(D38:D39,D44:D48)</f>
        <v>61.30934</v>
      </c>
    </row>
    <row r="38" spans="1:5" ht="15.75" thickBot="1">
      <c r="A38" s="15" t="s">
        <v>86</v>
      </c>
      <c r="B38" s="15" t="s">
        <v>83</v>
      </c>
      <c r="C38" s="16">
        <f>96235.11/1000</f>
        <v>96.23511</v>
      </c>
      <c r="D38" s="16">
        <f>(61309.34)/1000</f>
        <v>61.30934</v>
      </c>
      <c r="E38" s="19"/>
    </row>
    <row r="39" spans="1:4" ht="15.75" thickBot="1">
      <c r="A39" s="15"/>
      <c r="B39" s="15" t="s">
        <v>88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89</v>
      </c>
      <c r="B40" s="15" t="s">
        <v>90</v>
      </c>
      <c r="C40" s="16">
        <v>0</v>
      </c>
      <c r="D40" s="16">
        <v>0</v>
      </c>
    </row>
    <row r="41" spans="1:4" ht="15.75" thickBot="1">
      <c r="A41" s="15" t="s">
        <v>91</v>
      </c>
      <c r="B41" s="15" t="s">
        <v>92</v>
      </c>
      <c r="C41" s="16">
        <v>0</v>
      </c>
      <c r="D41" s="16">
        <v>0</v>
      </c>
    </row>
    <row r="42" spans="1:4" ht="15.75" thickBot="1">
      <c r="A42" s="15" t="s">
        <v>93</v>
      </c>
      <c r="B42" s="15" t="s">
        <v>94</v>
      </c>
      <c r="C42" s="16">
        <v>0</v>
      </c>
      <c r="D42" s="16">
        <v>0</v>
      </c>
    </row>
    <row r="43" spans="1:4" ht="18" customHeight="1" thickBot="1">
      <c r="A43" s="15" t="s">
        <v>95</v>
      </c>
      <c r="B43" s="15" t="s">
        <v>96</v>
      </c>
      <c r="C43" s="16">
        <v>0</v>
      </c>
      <c r="D43" s="16">
        <v>0</v>
      </c>
    </row>
    <row r="44" spans="1:4" ht="15.75" thickBot="1">
      <c r="A44" s="15" t="s">
        <v>97</v>
      </c>
      <c r="B44" s="15" t="s">
        <v>98</v>
      </c>
      <c r="C44" s="16">
        <v>0</v>
      </c>
      <c r="D44" s="16">
        <v>0</v>
      </c>
    </row>
    <row r="45" spans="1:4" ht="15.75" thickBot="1">
      <c r="A45" s="15" t="s">
        <v>99</v>
      </c>
      <c r="B45" s="15" t="s">
        <v>100</v>
      </c>
      <c r="C45" s="16">
        <v>0</v>
      </c>
      <c r="D45" s="16">
        <v>0</v>
      </c>
    </row>
    <row r="46" spans="1:4" ht="15.75" thickBot="1">
      <c r="A46" s="15" t="s">
        <v>101</v>
      </c>
      <c r="B46" s="15" t="s">
        <v>102</v>
      </c>
      <c r="C46" s="16">
        <v>0</v>
      </c>
      <c r="D46" s="16">
        <v>0</v>
      </c>
    </row>
    <row r="47" spans="1:4" ht="15.75" thickBot="1">
      <c r="A47" s="15" t="s">
        <v>103</v>
      </c>
      <c r="B47" s="15" t="s">
        <v>104</v>
      </c>
      <c r="C47" s="16">
        <v>0</v>
      </c>
      <c r="D47" s="16">
        <v>0</v>
      </c>
    </row>
    <row r="48" spans="1:4" ht="15.75" thickBot="1">
      <c r="A48" s="15" t="s">
        <v>105</v>
      </c>
      <c r="B48" s="15" t="s">
        <v>106</v>
      </c>
      <c r="C48" s="16">
        <v>0</v>
      </c>
      <c r="D48" s="16">
        <v>0</v>
      </c>
    </row>
    <row r="49" spans="1:4" ht="15.75" thickBot="1">
      <c r="A49" s="13" t="s">
        <v>5</v>
      </c>
      <c r="B49" s="13" t="s">
        <v>107</v>
      </c>
      <c r="C49" s="14">
        <f>SUM(C50:C52,C57:C58,C61:C62)</f>
        <v>6193.792020000001</v>
      </c>
      <c r="D49" s="14">
        <f>SUM(D50:D52,D57:D58,D61:D62)</f>
        <v>8205.969860000001</v>
      </c>
    </row>
    <row r="50" spans="1:4" ht="15.75" thickBot="1">
      <c r="A50" s="15" t="s">
        <v>108</v>
      </c>
      <c r="B50" s="15" t="s">
        <v>109</v>
      </c>
      <c r="C50" s="16">
        <v>0</v>
      </c>
      <c r="D50" s="16">
        <v>0</v>
      </c>
    </row>
    <row r="51" spans="1:4" ht="15.75" thickBot="1">
      <c r="A51" s="15" t="s">
        <v>111</v>
      </c>
      <c r="B51" s="15" t="s">
        <v>110</v>
      </c>
      <c r="C51" s="16">
        <f>668733.33/1000</f>
        <v>668.7333299999999</v>
      </c>
      <c r="D51" s="16">
        <f>519432.28/1000</f>
        <v>519.43228</v>
      </c>
    </row>
    <row r="52" spans="1:4" ht="15.75" thickBot="1">
      <c r="A52" s="15"/>
      <c r="B52" s="15" t="s">
        <v>112</v>
      </c>
      <c r="C52" s="16">
        <f>SUM(C53:C56)</f>
        <v>175.03928</v>
      </c>
      <c r="D52" s="16">
        <f>SUM(D53:D56)</f>
        <v>214.56902</v>
      </c>
    </row>
    <row r="53" spans="1:4" ht="15.75" thickBot="1">
      <c r="A53" s="15" t="s">
        <v>113</v>
      </c>
      <c r="B53" s="15" t="s">
        <v>90</v>
      </c>
      <c r="C53" s="16">
        <v>0</v>
      </c>
      <c r="D53" s="16">
        <v>0</v>
      </c>
    </row>
    <row r="54" spans="1:4" ht="15.75" thickBot="1">
      <c r="A54" s="15" t="s">
        <v>114</v>
      </c>
      <c r="B54" s="15" t="s">
        <v>92</v>
      </c>
      <c r="C54" s="16">
        <v>0</v>
      </c>
      <c r="D54" s="16">
        <v>0</v>
      </c>
    </row>
    <row r="55" spans="1:4" ht="15.75" thickBot="1">
      <c r="A55" s="15" t="s">
        <v>115</v>
      </c>
      <c r="B55" s="15" t="s">
        <v>94</v>
      </c>
      <c r="C55" s="16">
        <v>0</v>
      </c>
      <c r="D55" s="16">
        <v>0</v>
      </c>
    </row>
    <row r="56" spans="1:4" ht="42" customHeight="1" thickBot="1">
      <c r="A56" s="15" t="s">
        <v>116</v>
      </c>
      <c r="B56" s="15" t="s">
        <v>117</v>
      </c>
      <c r="C56" s="16">
        <f>175039.28/1000</f>
        <v>175.03928</v>
      </c>
      <c r="D56" s="16">
        <f>(214569.02)/1000</f>
        <v>214.56902</v>
      </c>
    </row>
    <row r="57" spans="1:4" ht="31.5" customHeight="1" thickBot="1">
      <c r="A57" s="15" t="s">
        <v>118</v>
      </c>
      <c r="B57" s="15" t="s">
        <v>119</v>
      </c>
      <c r="C57" s="16">
        <f>352662.44/1000</f>
        <v>352.66244</v>
      </c>
      <c r="D57" s="16">
        <f>(1232635.41)/1000</f>
        <v>1232.6354099999999</v>
      </c>
    </row>
    <row r="58" spans="1:4" ht="15.75" thickBot="1">
      <c r="A58" s="15"/>
      <c r="B58" s="15" t="s">
        <v>120</v>
      </c>
      <c r="C58" s="16">
        <f>SUM(C59:C60)</f>
        <v>4997.356970000001</v>
      </c>
      <c r="D58" s="16">
        <f>SUM(D59:D60)</f>
        <v>6239.33315</v>
      </c>
    </row>
    <row r="59" spans="1:4" ht="15.75" thickBot="1">
      <c r="A59" s="15" t="s">
        <v>121</v>
      </c>
      <c r="B59" s="15" t="s">
        <v>122</v>
      </c>
      <c r="C59" s="16">
        <f>3637431.48/1000</f>
        <v>3637.43148</v>
      </c>
      <c r="D59" s="16">
        <f>((2283491.15+42068.53+1571693.62)/1000)+1</f>
        <v>3898.2533</v>
      </c>
    </row>
    <row r="60" spans="1:4" ht="15.75" thickBot="1">
      <c r="A60" s="15" t="s">
        <v>123</v>
      </c>
      <c r="B60" s="15" t="s">
        <v>124</v>
      </c>
      <c r="C60" s="16">
        <f>1359925.49/1000</f>
        <v>1359.92549</v>
      </c>
      <c r="D60" s="16">
        <f>(773568.24-0.01+1567410.85+100.77)/1000</f>
        <v>2341.07985</v>
      </c>
    </row>
    <row r="61" spans="1:4" ht="15.75" thickBot="1">
      <c r="A61" s="15" t="s">
        <v>125</v>
      </c>
      <c r="B61" s="15" t="s">
        <v>126</v>
      </c>
      <c r="C61" s="16">
        <v>0</v>
      </c>
      <c r="D61" s="16">
        <v>0</v>
      </c>
    </row>
    <row r="62" spans="1:4" ht="15.75" thickBot="1">
      <c r="A62" s="15" t="s">
        <v>127</v>
      </c>
      <c r="B62" s="15" t="s">
        <v>128</v>
      </c>
      <c r="C62" s="16">
        <v>0</v>
      </c>
      <c r="D62" s="16">
        <v>0</v>
      </c>
    </row>
    <row r="63" spans="1:4" ht="23.25" customHeight="1" thickBot="1">
      <c r="A63" s="17"/>
      <c r="B63" s="17" t="s">
        <v>129</v>
      </c>
      <c r="C63" s="18">
        <f>C24+C37+C49</f>
        <v>11026.622739999999</v>
      </c>
      <c r="D63" s="18">
        <f>D24+D37+D49</f>
        <v>12680.50805</v>
      </c>
    </row>
    <row r="65" spans="3:4" ht="15">
      <c r="C65" s="57"/>
      <c r="D65" s="57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85" zoomScaleNormal="85" zoomScalePageLayoutView="0" workbookViewId="0" topLeftCell="A1">
      <selection activeCell="A1" sqref="A1:D1"/>
    </sheetView>
  </sheetViews>
  <sheetFormatPr defaultColWidth="11.421875" defaultRowHeight="15"/>
  <cols>
    <col min="1" max="1" width="80.7109375" style="58" bestFit="1" customWidth="1"/>
    <col min="2" max="2" width="68.57421875" style="58" bestFit="1" customWidth="1"/>
    <col min="3" max="4" width="15.28125" style="58" bestFit="1" customWidth="1"/>
    <col min="5" max="5" width="21.57421875" style="58" customWidth="1"/>
    <col min="6" max="6" width="18.00390625" style="0" bestFit="1" customWidth="1"/>
    <col min="7" max="8" width="18.00390625" style="58" bestFit="1" customWidth="1"/>
    <col min="9" max="16384" width="11.421875" style="58" customWidth="1"/>
  </cols>
  <sheetData>
    <row r="1" spans="1:4" ht="19.5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28">
        <v>43008</v>
      </c>
      <c r="D2" s="28">
        <v>42735</v>
      </c>
    </row>
    <row r="3" spans="1:4" ht="19.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9.5" thickBot="1">
      <c r="A4" s="13" t="s">
        <v>5</v>
      </c>
      <c r="B4" s="13" t="s">
        <v>10</v>
      </c>
      <c r="C4" s="14">
        <f>SUM(C5:C12)</f>
        <v>1414916.8616600002</v>
      </c>
      <c r="D4" s="14">
        <f>SUM(D5:D12)</f>
        <v>1424484.4984199998</v>
      </c>
    </row>
    <row r="5" spans="1:4" ht="49.5" customHeight="1" thickBot="1">
      <c r="A5" s="15" t="s">
        <v>147</v>
      </c>
      <c r="B5" s="15" t="s">
        <v>11</v>
      </c>
      <c r="C5" s="16">
        <v>5454.57</v>
      </c>
      <c r="D5" s="16">
        <v>7555.054730000001</v>
      </c>
    </row>
    <row r="6" spans="1:4" ht="58.5" customHeight="1" thickBot="1">
      <c r="A6" s="15" t="s">
        <v>148</v>
      </c>
      <c r="B6" s="15" t="s">
        <v>19</v>
      </c>
      <c r="C6" s="16">
        <v>1274124.02</v>
      </c>
      <c r="D6" s="16">
        <v>1282154.91025</v>
      </c>
    </row>
    <row r="7" spans="1:4" ht="42" customHeight="1" thickBot="1">
      <c r="A7" s="15" t="s">
        <v>149</v>
      </c>
      <c r="B7" s="15" t="s">
        <v>24</v>
      </c>
      <c r="C7" s="16"/>
      <c r="D7" s="16"/>
    </row>
    <row r="8" spans="1:4" ht="42" customHeight="1" thickBot="1">
      <c r="A8" s="15" t="s">
        <v>28</v>
      </c>
      <c r="B8" s="15" t="s">
        <v>29</v>
      </c>
      <c r="C8" s="16">
        <v>32499.33</v>
      </c>
      <c r="D8" s="16">
        <v>32487.02133</v>
      </c>
    </row>
    <row r="9" spans="1:4" ht="58.5" customHeight="1" thickBot="1">
      <c r="A9" s="15" t="s">
        <v>30</v>
      </c>
      <c r="B9" s="15" t="s">
        <v>31</v>
      </c>
      <c r="C9" s="16">
        <v>28450.78</v>
      </c>
      <c r="D9" s="16">
        <v>27902.9803</v>
      </c>
    </row>
    <row r="10" spans="1:4" ht="42" customHeight="1" thickBot="1">
      <c r="A10" s="15"/>
      <c r="B10" s="15" t="s">
        <v>32</v>
      </c>
      <c r="C10" s="16">
        <v>1060.48</v>
      </c>
      <c r="D10" s="16">
        <v>1056.85015</v>
      </c>
    </row>
    <row r="11" spans="1:4" ht="42" customHeight="1" thickBot="1">
      <c r="A11" s="15" t="s">
        <v>33</v>
      </c>
      <c r="B11" s="15" t="s">
        <v>34</v>
      </c>
      <c r="C11" s="16"/>
      <c r="D11" s="16"/>
    </row>
    <row r="12" spans="1:4" s="59" customFormat="1" ht="42" customHeight="1" thickBot="1">
      <c r="A12" s="15"/>
      <c r="B12" s="15" t="s">
        <v>203</v>
      </c>
      <c r="C12" s="16">
        <f>73327681.66/1000</f>
        <v>73327.68166</v>
      </c>
      <c r="D12" s="16">
        <v>73327.68166</v>
      </c>
    </row>
    <row r="13" spans="1:4" ht="19.5" thickBot="1">
      <c r="A13" s="13" t="s">
        <v>5</v>
      </c>
      <c r="B13" s="13" t="s">
        <v>35</v>
      </c>
      <c r="C13" s="14">
        <f>SUM(C14:C16,C20:C23)</f>
        <v>462025.00299999997</v>
      </c>
      <c r="D13" s="14">
        <f>SUM(D14:D16,D20:D23)</f>
        <v>342541.74434</v>
      </c>
    </row>
    <row r="14" spans="1:4" ht="42" customHeight="1" thickBot="1">
      <c r="A14" s="15" t="s">
        <v>150</v>
      </c>
      <c r="B14" s="15" t="s">
        <v>36</v>
      </c>
      <c r="C14" s="16"/>
      <c r="D14" s="47"/>
    </row>
    <row r="15" spans="1:4" ht="42" customHeight="1" thickBot="1">
      <c r="A15" s="15" t="s">
        <v>46</v>
      </c>
      <c r="B15" s="15" t="s">
        <v>45</v>
      </c>
      <c r="C15" s="16">
        <v>13848.031</v>
      </c>
      <c r="D15" s="16">
        <v>15077.334359999999</v>
      </c>
    </row>
    <row r="16" spans="1:6" ht="42" customHeight="1" thickBot="1">
      <c r="A16" s="15"/>
      <c r="B16" s="15" t="s">
        <v>48</v>
      </c>
      <c r="C16" s="16">
        <f>SUM(C17:C19)</f>
        <v>184844.44199999998</v>
      </c>
      <c r="D16" s="16">
        <f>+D17+D19</f>
        <v>311606.85248</v>
      </c>
      <c r="E16" s="60"/>
      <c r="F16" s="60"/>
    </row>
    <row r="17" spans="1:5" ht="58.5" customHeight="1" thickBot="1">
      <c r="A17" s="15" t="s">
        <v>49</v>
      </c>
      <c r="B17" s="15" t="s">
        <v>50</v>
      </c>
      <c r="C17" s="16">
        <f>137853.5+5223.012</f>
        <v>143076.512</v>
      </c>
      <c r="D17" s="16">
        <v>250256.50822</v>
      </c>
      <c r="E17" s="61"/>
    </row>
    <row r="18" spans="1:5" ht="42" customHeight="1" thickBot="1">
      <c r="A18" s="15"/>
      <c r="B18" s="15" t="s">
        <v>51</v>
      </c>
      <c r="C18" s="16"/>
      <c r="D18" s="16"/>
      <c r="E18" s="61"/>
    </row>
    <row r="19" spans="1:6" ht="61.5" customHeight="1" thickBot="1">
      <c r="A19" s="15" t="s">
        <v>52</v>
      </c>
      <c r="B19" s="15" t="s">
        <v>53</v>
      </c>
      <c r="C19" s="16">
        <v>41767.93</v>
      </c>
      <c r="D19" s="16">
        <v>61350.344260000005</v>
      </c>
      <c r="E19" s="61"/>
      <c r="F19" s="19"/>
    </row>
    <row r="20" spans="1:4" ht="98.25" customHeight="1" thickBot="1">
      <c r="A20" s="15" t="s">
        <v>54</v>
      </c>
      <c r="B20" s="15" t="s">
        <v>55</v>
      </c>
      <c r="C20" s="16"/>
      <c r="D20" s="16"/>
    </row>
    <row r="21" spans="1:4" ht="111.75" customHeight="1" thickBot="1">
      <c r="A21" s="15" t="s">
        <v>56</v>
      </c>
      <c r="B21" s="15" t="s">
        <v>57</v>
      </c>
      <c r="C21" s="16">
        <f>334.5+4.47</f>
        <v>338.97</v>
      </c>
      <c r="D21" s="16">
        <v>197.16183999999998</v>
      </c>
    </row>
    <row r="22" spans="1:4" ht="42" customHeight="1" thickBot="1">
      <c r="A22" s="15" t="s">
        <v>58</v>
      </c>
      <c r="B22" s="15" t="s">
        <v>59</v>
      </c>
      <c r="C22" s="16">
        <v>4707.32</v>
      </c>
      <c r="D22" s="16">
        <v>3641.40656</v>
      </c>
    </row>
    <row r="23" spans="1:6" ht="42" customHeight="1" thickBot="1">
      <c r="A23" s="15"/>
      <c r="B23" s="15" t="s">
        <v>60</v>
      </c>
      <c r="C23" s="16">
        <v>258286.24</v>
      </c>
      <c r="D23" s="16">
        <v>12018.989099999999</v>
      </c>
      <c r="F23" s="19"/>
    </row>
    <row r="24" spans="1:4" ht="19.5" thickBot="1">
      <c r="A24" s="17"/>
      <c r="B24" s="17" t="s">
        <v>61</v>
      </c>
      <c r="C24" s="18">
        <f>C4+C13</f>
        <v>1876941.8646600002</v>
      </c>
      <c r="D24" s="18">
        <f>D4+D13</f>
        <v>1767026.2427599998</v>
      </c>
    </row>
    <row r="25" spans="1:4" ht="19.5" thickBot="1">
      <c r="A25" s="13" t="s">
        <v>5</v>
      </c>
      <c r="B25" s="13" t="s">
        <v>62</v>
      </c>
      <c r="C25" s="14">
        <f>C26+C36+C37</f>
        <v>381496.01</v>
      </c>
      <c r="D25" s="14">
        <f>D26+D36+D37</f>
        <v>388853.29429999995</v>
      </c>
    </row>
    <row r="26" spans="1:4" ht="42" customHeight="1" thickBot="1">
      <c r="A26" s="15"/>
      <c r="B26" s="15" t="s">
        <v>63</v>
      </c>
      <c r="C26" s="16">
        <f>SUM(C27:C35)</f>
        <v>-108848.28</v>
      </c>
      <c r="D26" s="16">
        <f>SUM(D27:D35)</f>
        <v>-131884.49889000005</v>
      </c>
    </row>
    <row r="27" spans="1:4" ht="42" customHeight="1" thickBot="1">
      <c r="A27" s="15" t="s">
        <v>64</v>
      </c>
      <c r="B27" s="15" t="s">
        <v>65</v>
      </c>
      <c r="C27" s="16">
        <v>17976.9</v>
      </c>
      <c r="D27" s="16">
        <v>17976.89691</v>
      </c>
    </row>
    <row r="28" spans="1:4" ht="42" customHeight="1" thickBot="1">
      <c r="A28" s="15"/>
      <c r="B28" s="15" t="s">
        <v>66</v>
      </c>
      <c r="C28" s="16"/>
      <c r="D28" s="16"/>
    </row>
    <row r="29" spans="1:5" ht="42" customHeight="1" thickBot="1">
      <c r="A29" s="15" t="s">
        <v>67</v>
      </c>
      <c r="B29" s="15" t="s">
        <v>68</v>
      </c>
      <c r="C29" s="16">
        <v>424194.24</v>
      </c>
      <c r="D29" s="16">
        <v>424194.2453</v>
      </c>
      <c r="E29" s="61"/>
    </row>
    <row r="30" spans="1:5" ht="42" customHeight="1" thickBot="1">
      <c r="A30" s="15" t="s">
        <v>69</v>
      </c>
      <c r="B30" s="15" t="s">
        <v>70</v>
      </c>
      <c r="C30" s="16"/>
      <c r="D30" s="16"/>
      <c r="E30" s="61"/>
    </row>
    <row r="31" spans="1:5" ht="42" customHeight="1" thickBot="1">
      <c r="A31" s="15" t="s">
        <v>71</v>
      </c>
      <c r="B31" s="15" t="s">
        <v>72</v>
      </c>
      <c r="C31" s="16">
        <v>-574055.64</v>
      </c>
      <c r="D31" s="16">
        <v>-505582.82633000007</v>
      </c>
      <c r="E31" s="61"/>
    </row>
    <row r="32" spans="1:4" ht="42" customHeight="1" thickBot="1">
      <c r="A32" s="15"/>
      <c r="B32" s="15" t="s">
        <v>73</v>
      </c>
      <c r="C32" s="16"/>
      <c r="D32" s="16"/>
    </row>
    <row r="33" spans="1:5" ht="42" customHeight="1" thickBot="1">
      <c r="A33" s="15"/>
      <c r="B33" s="15" t="s">
        <v>74</v>
      </c>
      <c r="C33" s="16">
        <v>23036.22</v>
      </c>
      <c r="D33" s="16">
        <v>-68472.81477</v>
      </c>
      <c r="E33" s="61"/>
    </row>
    <row r="34" spans="1:4" ht="42" customHeight="1" thickBot="1">
      <c r="A34" s="15" t="s">
        <v>75</v>
      </c>
      <c r="B34" s="15" t="s">
        <v>76</v>
      </c>
      <c r="C34" s="16"/>
      <c r="D34" s="16"/>
    </row>
    <row r="35" spans="1:4" ht="42" customHeight="1" thickBot="1">
      <c r="A35" s="15"/>
      <c r="B35" s="15" t="s">
        <v>77</v>
      </c>
      <c r="C35" s="16"/>
      <c r="D35" s="16"/>
    </row>
    <row r="36" spans="1:4" ht="42" customHeight="1" thickBot="1">
      <c r="A36" s="15" t="s">
        <v>78</v>
      </c>
      <c r="B36" s="15" t="s">
        <v>79</v>
      </c>
      <c r="C36" s="16">
        <v>-440.39</v>
      </c>
      <c r="D36" s="16">
        <v>-545.63649</v>
      </c>
    </row>
    <row r="37" spans="1:4" ht="42" customHeight="1" thickBot="1">
      <c r="A37" s="15" t="s">
        <v>80</v>
      </c>
      <c r="B37" s="15" t="s">
        <v>81</v>
      </c>
      <c r="C37" s="16">
        <v>490784.68</v>
      </c>
      <c r="D37" s="16">
        <v>521283.42968</v>
      </c>
    </row>
    <row r="38" spans="1:4" ht="19.5" thickBot="1">
      <c r="A38" s="13" t="s">
        <v>5</v>
      </c>
      <c r="B38" s="13" t="s">
        <v>82</v>
      </c>
      <c r="C38" s="14">
        <f>SUM(C39:C40,C45:C49)</f>
        <v>967791.9000000001</v>
      </c>
      <c r="D38" s="14">
        <f>SUM(D39:D40,D44:D49)</f>
        <v>845120.80178</v>
      </c>
    </row>
    <row r="39" spans="1:5" ht="42" customHeight="1" thickBot="1">
      <c r="A39" s="15" t="s">
        <v>86</v>
      </c>
      <c r="B39" s="15" t="s">
        <v>83</v>
      </c>
      <c r="C39" s="16">
        <v>43312.65</v>
      </c>
      <c r="D39" s="16">
        <v>60881.26168</v>
      </c>
      <c r="E39" s="61"/>
    </row>
    <row r="40" spans="1:5" ht="42" customHeight="1" thickBot="1">
      <c r="A40" s="15"/>
      <c r="B40" s="15" t="s">
        <v>88</v>
      </c>
      <c r="C40" s="16">
        <f>SUM(C41:C44)</f>
        <v>919397.3500000001</v>
      </c>
      <c r="D40" s="16">
        <f>SUM(D41:D43)</f>
        <v>778607.9089</v>
      </c>
      <c r="E40" s="61"/>
    </row>
    <row r="41" spans="1:5" ht="42" customHeight="1" thickBot="1">
      <c r="A41" s="15" t="s">
        <v>89</v>
      </c>
      <c r="B41" s="15" t="s">
        <v>90</v>
      </c>
      <c r="C41" s="16"/>
      <c r="D41" s="16"/>
      <c r="E41" s="61"/>
    </row>
    <row r="42" spans="1:5" ht="42" customHeight="1" thickBot="1">
      <c r="A42" s="15" t="s">
        <v>91</v>
      </c>
      <c r="B42" s="15" t="s">
        <v>92</v>
      </c>
      <c r="C42" s="16">
        <v>835363.43</v>
      </c>
      <c r="D42" s="16">
        <v>688350.77364</v>
      </c>
      <c r="E42" s="61"/>
    </row>
    <row r="43" spans="1:4" ht="42" customHeight="1" thickBot="1">
      <c r="A43" s="15" t="s">
        <v>93</v>
      </c>
      <c r="B43" s="15" t="s">
        <v>94</v>
      </c>
      <c r="C43" s="16">
        <v>84033.92</v>
      </c>
      <c r="D43" s="16">
        <v>90257.13526000001</v>
      </c>
    </row>
    <row r="44" spans="1:4" ht="42" customHeight="1" thickBot="1">
      <c r="A44" s="15" t="s">
        <v>95</v>
      </c>
      <c r="B44" s="15" t="s">
        <v>96</v>
      </c>
      <c r="C44" s="16"/>
      <c r="D44" s="16"/>
    </row>
    <row r="45" spans="1:4" ht="42" customHeight="1" thickBot="1">
      <c r="A45" s="15" t="s">
        <v>97</v>
      </c>
      <c r="B45" s="15" t="s">
        <v>98</v>
      </c>
      <c r="C45" s="16"/>
      <c r="D45"/>
    </row>
    <row r="46" spans="1:4" ht="42" customHeight="1" thickBot="1">
      <c r="A46" s="15" t="s">
        <v>99</v>
      </c>
      <c r="B46" s="15" t="s">
        <v>100</v>
      </c>
      <c r="C46" s="16">
        <v>1230.04</v>
      </c>
      <c r="D46" s="16">
        <v>1306.4743899999999</v>
      </c>
    </row>
    <row r="47" spans="1:4" ht="42" customHeight="1" thickBot="1">
      <c r="A47" s="15" t="s">
        <v>101</v>
      </c>
      <c r="B47" s="15" t="s">
        <v>102</v>
      </c>
      <c r="C47" s="16">
        <v>3851.86</v>
      </c>
      <c r="D47" s="16">
        <v>4325.1568099999995</v>
      </c>
    </row>
    <row r="48" spans="1:4" ht="42" customHeight="1" thickBot="1">
      <c r="A48" s="15" t="s">
        <v>103</v>
      </c>
      <c r="B48" s="15" t="s">
        <v>104</v>
      </c>
      <c r="C48" s="16"/>
      <c r="D48" s="47"/>
    </row>
    <row r="49" spans="1:4" ht="19.5" thickBot="1">
      <c r="A49" s="15" t="s">
        <v>105</v>
      </c>
      <c r="B49" s="15" t="s">
        <v>106</v>
      </c>
      <c r="C49" s="16"/>
      <c r="D49" s="47"/>
    </row>
    <row r="50" spans="1:4" ht="42" customHeight="1" thickBot="1">
      <c r="A50" s="13" t="s">
        <v>5</v>
      </c>
      <c r="B50" s="13" t="s">
        <v>107</v>
      </c>
      <c r="C50" s="14">
        <f>SUM(C51:C53,C58:C59,C62:C63)</f>
        <v>527653.9500000001</v>
      </c>
      <c r="D50" s="14">
        <f>SUM(D51:D53,D58:D59,D62:D63)</f>
        <v>533052.14668</v>
      </c>
    </row>
    <row r="51" spans="1:4" ht="42" customHeight="1" thickBot="1">
      <c r="A51" s="15" t="s">
        <v>108</v>
      </c>
      <c r="B51" s="15" t="s">
        <v>109</v>
      </c>
      <c r="C51" s="16"/>
      <c r="D51" s="47"/>
    </row>
    <row r="52" spans="1:4" ht="42" customHeight="1" thickBot="1">
      <c r="A52" s="15" t="s">
        <v>111</v>
      </c>
      <c r="B52" s="15" t="s">
        <v>110</v>
      </c>
      <c r="C52" s="16">
        <v>16669.19</v>
      </c>
      <c r="D52" s="16">
        <v>17535.91642</v>
      </c>
    </row>
    <row r="53" spans="1:6" ht="42" customHeight="1" thickBot="1">
      <c r="A53" s="15"/>
      <c r="B53" s="15" t="s">
        <v>112</v>
      </c>
      <c r="C53" s="16">
        <f>SUM(C54:C57)</f>
        <v>125930.48999999999</v>
      </c>
      <c r="D53" s="16">
        <f>SUM(D54:D57)</f>
        <v>194809.55971</v>
      </c>
      <c r="F53" s="19"/>
    </row>
    <row r="54" spans="1:7" ht="42" customHeight="1" thickBot="1">
      <c r="A54" s="15" t="s">
        <v>113</v>
      </c>
      <c r="B54" s="15" t="s">
        <v>90</v>
      </c>
      <c r="C54" s="16"/>
      <c r="D54" s="16"/>
      <c r="F54" s="19"/>
      <c r="G54" s="61"/>
    </row>
    <row r="55" spans="1:4" ht="42" customHeight="1" thickBot="1">
      <c r="A55" s="15" t="s">
        <v>114</v>
      </c>
      <c r="B55" s="15" t="s">
        <v>92</v>
      </c>
      <c r="C55" s="16">
        <f>90673.84+7183.93</f>
        <v>97857.76999999999</v>
      </c>
      <c r="D55" s="16">
        <v>119778.42816</v>
      </c>
    </row>
    <row r="56" spans="1:8" ht="118.5" customHeight="1" thickBot="1">
      <c r="A56" s="15" t="s">
        <v>115</v>
      </c>
      <c r="B56" s="15" t="s">
        <v>94</v>
      </c>
      <c r="C56" s="16"/>
      <c r="D56" s="16"/>
      <c r="F56" s="19"/>
      <c r="H56" s="61"/>
    </row>
    <row r="57" spans="1:4" ht="75.75" customHeight="1" thickBot="1">
      <c r="A57" s="15" t="s">
        <v>116</v>
      </c>
      <c r="B57" s="15" t="s">
        <v>117</v>
      </c>
      <c r="C57" s="16">
        <v>28072.72</v>
      </c>
      <c r="D57" s="16">
        <v>75031.13154999999</v>
      </c>
    </row>
    <row r="58" spans="1:4" ht="42" customHeight="1" thickBot="1">
      <c r="A58" s="15" t="s">
        <v>118</v>
      </c>
      <c r="B58" s="15" t="s">
        <v>119</v>
      </c>
      <c r="C58" s="16"/>
      <c r="D58" s="16"/>
    </row>
    <row r="59" spans="1:4" ht="52.5" customHeight="1" thickBot="1">
      <c r="A59" s="15"/>
      <c r="B59" s="15" t="s">
        <v>120</v>
      </c>
      <c r="C59" s="16">
        <f>SUM(C60:C61)</f>
        <v>384930.84</v>
      </c>
      <c r="D59" s="16">
        <f>SUM(D60:D61)</f>
        <v>320590.98439</v>
      </c>
    </row>
    <row r="60" spans="1:6" ht="42" customHeight="1" thickBot="1">
      <c r="A60" s="15" t="s">
        <v>121</v>
      </c>
      <c r="B60" s="15" t="s">
        <v>122</v>
      </c>
      <c r="C60" s="16">
        <v>58772.88</v>
      </c>
      <c r="D60" s="16">
        <v>62014.26816000001</v>
      </c>
      <c r="F60" s="19"/>
    </row>
    <row r="61" spans="1:4" ht="42" customHeight="1" thickBot="1">
      <c r="A61" s="15" t="s">
        <v>123</v>
      </c>
      <c r="B61" s="15" t="s">
        <v>124</v>
      </c>
      <c r="C61" s="16">
        <v>326157.96</v>
      </c>
      <c r="D61" s="16">
        <v>258576.71623000002</v>
      </c>
    </row>
    <row r="62" spans="1:6" ht="42" customHeight="1" thickBot="1">
      <c r="A62" s="15" t="s">
        <v>125</v>
      </c>
      <c r="B62" s="15" t="s">
        <v>126</v>
      </c>
      <c r="C62" s="16">
        <v>123.43</v>
      </c>
      <c r="D62" s="16">
        <v>115.68616</v>
      </c>
      <c r="F62" s="19"/>
    </row>
    <row r="63" spans="1:4" ht="19.5" thickBot="1">
      <c r="A63" s="15" t="s">
        <v>127</v>
      </c>
      <c r="B63" s="15" t="s">
        <v>128</v>
      </c>
      <c r="C63" s="16"/>
      <c r="D63" s="47"/>
    </row>
    <row r="64" spans="1:4" ht="42" customHeight="1" thickBot="1">
      <c r="A64" s="17"/>
      <c r="B64" s="17" t="s">
        <v>129</v>
      </c>
      <c r="C64" s="18">
        <f>C25+C38+C50</f>
        <v>1876941.8600000003</v>
      </c>
      <c r="D64" s="18">
        <f>D25+D38+D50</f>
        <v>1767026.24276</v>
      </c>
    </row>
    <row r="65" spans="1:4" ht="42" customHeight="1">
      <c r="A65"/>
      <c r="B65"/>
      <c r="C65" s="19"/>
      <c r="D65" s="19"/>
    </row>
    <row r="66" spans="3:4" ht="42" customHeight="1">
      <c r="C66" s="62">
        <v>0</v>
      </c>
      <c r="D66" s="63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121035</v>
      </c>
      <c r="D7" s="36">
        <f>+D8+D13+D17+D20+D21+D22+D23</f>
        <v>129559</v>
      </c>
    </row>
    <row r="8" spans="1:4" ht="15">
      <c r="A8" s="37"/>
      <c r="B8" s="37" t="s">
        <v>11</v>
      </c>
      <c r="C8" s="38">
        <f>+C9+C10+C11+C12</f>
        <v>76671</v>
      </c>
      <c r="D8" s="38">
        <f>+D9+D10+D11+D12</f>
        <v>92332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68903</v>
      </c>
      <c r="D10" s="39">
        <v>83840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7768</v>
      </c>
      <c r="D12" s="39">
        <v>8492</v>
      </c>
    </row>
    <row r="13" spans="1:4" ht="15">
      <c r="A13" s="37"/>
      <c r="B13" s="37" t="s">
        <v>19</v>
      </c>
      <c r="C13" s="38">
        <f>+C14+C15+C16</f>
        <v>44364</v>
      </c>
      <c r="D13" s="38">
        <f>+D14+D15+D16</f>
        <v>37155</v>
      </c>
    </row>
    <row r="14" spans="1:4" ht="15">
      <c r="A14" s="37" t="s">
        <v>20</v>
      </c>
      <c r="B14" s="37" t="s">
        <v>159</v>
      </c>
      <c r="C14" s="39">
        <v>291</v>
      </c>
      <c r="D14" s="39">
        <v>291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44073</v>
      </c>
      <c r="D16" s="39">
        <v>36864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0</v>
      </c>
      <c r="D21" s="39">
        <v>72</v>
      </c>
    </row>
    <row r="22" spans="1:4" ht="15">
      <c r="A22" s="37"/>
      <c r="B22" s="37" t="s">
        <v>32</v>
      </c>
      <c r="C22" s="39">
        <v>0</v>
      </c>
      <c r="D22" s="39">
        <v>0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94249</v>
      </c>
      <c r="D24" s="36">
        <f>+D25+D31+D34+D38+D39+D40+D41</f>
        <v>105439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143</v>
      </c>
      <c r="D31" s="38">
        <f>+D32+D33</f>
        <v>156</v>
      </c>
    </row>
    <row r="32" spans="1:4" ht="15">
      <c r="A32" s="37" t="s">
        <v>46</v>
      </c>
      <c r="B32" s="37" t="s">
        <v>168</v>
      </c>
      <c r="C32" s="39">
        <v>143</v>
      </c>
      <c r="D32" s="39">
        <v>156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268</v>
      </c>
      <c r="D34" s="38">
        <f>+D35+D36+D37</f>
        <v>81499</v>
      </c>
    </row>
    <row r="35" spans="1:4" ht="24">
      <c r="A35" s="37" t="s">
        <v>169</v>
      </c>
      <c r="B35" s="37" t="s">
        <v>170</v>
      </c>
      <c r="C35" s="39">
        <v>0</v>
      </c>
      <c r="D35" s="39">
        <v>30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268</v>
      </c>
      <c r="D37" s="39">
        <v>81469</v>
      </c>
    </row>
    <row r="38" spans="1:4" ht="24">
      <c r="A38" s="37" t="s">
        <v>54</v>
      </c>
      <c r="B38" s="37" t="s">
        <v>55</v>
      </c>
      <c r="C38" s="39">
        <v>0</v>
      </c>
      <c r="D38" s="39">
        <v>0</v>
      </c>
    </row>
    <row r="39" spans="1:4" ht="24">
      <c r="A39" s="37" t="s">
        <v>56</v>
      </c>
      <c r="B39" s="37" t="s">
        <v>57</v>
      </c>
      <c r="C39" s="39">
        <v>30080</v>
      </c>
      <c r="D39" s="39">
        <v>80</v>
      </c>
    </row>
    <row r="40" spans="1:4" ht="15">
      <c r="A40" s="37" t="s">
        <v>58</v>
      </c>
      <c r="B40" s="37" t="s">
        <v>59</v>
      </c>
      <c r="C40" s="39">
        <v>0</v>
      </c>
      <c r="D40" s="39">
        <v>0</v>
      </c>
    </row>
    <row r="41" spans="1:4" ht="15">
      <c r="A41" s="37"/>
      <c r="B41" s="37" t="s">
        <v>60</v>
      </c>
      <c r="C41" s="39">
        <v>63758</v>
      </c>
      <c r="D41" s="39">
        <v>23704</v>
      </c>
    </row>
    <row r="42" spans="1:4" ht="15">
      <c r="A42" s="40"/>
      <c r="B42" s="41" t="s">
        <v>61</v>
      </c>
      <c r="C42" s="36">
        <f>+C7+C24</f>
        <v>215284</v>
      </c>
      <c r="D42" s="36">
        <f>+D7+D24</f>
        <v>234998</v>
      </c>
    </row>
    <row r="43" spans="1:4" ht="15">
      <c r="A43" s="35"/>
      <c r="B43" s="35" t="s">
        <v>173</v>
      </c>
      <c r="C43" s="36">
        <f>+C44+C54+C55</f>
        <v>178008</v>
      </c>
      <c r="D43" s="36">
        <f>+D44+D54+D55</f>
        <v>215184</v>
      </c>
    </row>
    <row r="44" spans="1:4" ht="15">
      <c r="A44" s="37"/>
      <c r="B44" s="37" t="s">
        <v>63</v>
      </c>
      <c r="C44" s="38">
        <f>+C45+C46+C47+C48+C49+C50+C51+C52+C53</f>
        <v>175262</v>
      </c>
      <c r="D44" s="38">
        <f>+D45+D46+D47+D48+D49+D50+D51+D52+D53</f>
        <v>212175</v>
      </c>
    </row>
    <row r="45" spans="1:4" ht="24">
      <c r="A45" s="37" t="s">
        <v>174</v>
      </c>
      <c r="B45" s="37" t="s">
        <v>175</v>
      </c>
      <c r="C45" s="39">
        <v>1114</v>
      </c>
      <c r="D45" s="39">
        <v>1114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v>0</v>
      </c>
      <c r="D47" s="39">
        <v>0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v>-146411</v>
      </c>
      <c r="D49" s="39">
        <v>-148213</v>
      </c>
    </row>
    <row r="50" spans="1:4" ht="15">
      <c r="A50" s="37"/>
      <c r="B50" s="37" t="s">
        <v>181</v>
      </c>
      <c r="C50" s="39">
        <v>437272</v>
      </c>
      <c r="D50" s="39">
        <v>505685</v>
      </c>
    </row>
    <row r="51" spans="1:4" ht="15">
      <c r="A51" s="37"/>
      <c r="B51" s="37" t="s">
        <v>182</v>
      </c>
      <c r="C51" s="39">
        <v>-116713</v>
      </c>
      <c r="D51" s="39">
        <v>-146411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2746</v>
      </c>
      <c r="D55" s="39">
        <v>3009</v>
      </c>
    </row>
    <row r="56" spans="1:4" ht="15">
      <c r="A56" s="35"/>
      <c r="B56" s="35" t="s">
        <v>185</v>
      </c>
      <c r="C56" s="36">
        <f>+C57+C61+C66+C67+C68+C69+C70</f>
        <v>0</v>
      </c>
      <c r="D56" s="36">
        <f>+D57+D61+D66+D67+D68+D69+D70</f>
        <v>0</v>
      </c>
    </row>
    <row r="57" spans="1:4" ht="15">
      <c r="A57" s="37"/>
      <c r="B57" s="37" t="s">
        <v>83</v>
      </c>
      <c r="C57" s="38">
        <f>+C58+C59+C60</f>
        <v>0</v>
      </c>
      <c r="D57" s="38">
        <f>+D58+D59+D60</f>
        <v>0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0</v>
      </c>
      <c r="D60" s="39">
        <v>0</v>
      </c>
    </row>
    <row r="61" spans="1:4" ht="15">
      <c r="A61" s="37"/>
      <c r="B61" s="37" t="s">
        <v>88</v>
      </c>
      <c r="C61" s="38">
        <f>+C62+C63+C64+C65</f>
        <v>0</v>
      </c>
      <c r="D61" s="38">
        <f>+D62+D63+D64+D65</f>
        <v>0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0</v>
      </c>
      <c r="D65" s="39">
        <v>0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37276</v>
      </c>
      <c r="D71" s="36">
        <f>+D72+D73+D77+D82+D83+D86+D87</f>
        <v>19814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259</v>
      </c>
      <c r="D73" s="38">
        <f>+D74+D75+D76</f>
        <v>1118</v>
      </c>
    </row>
    <row r="74" spans="1:4" ht="15">
      <c r="A74" s="37"/>
      <c r="B74" s="37" t="s">
        <v>186</v>
      </c>
      <c r="C74" s="39">
        <v>259</v>
      </c>
      <c r="D74" s="39">
        <v>1118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0</v>
      </c>
      <c r="D76" s="39">
        <v>0</v>
      </c>
    </row>
    <row r="77" spans="1:4" ht="15">
      <c r="A77" s="37"/>
      <c r="B77" s="37" t="s">
        <v>112</v>
      </c>
      <c r="C77" s="38">
        <f>+C78+C79+C80+C81</f>
        <v>0</v>
      </c>
      <c r="D77" s="38">
        <f>+D78+D79+D80+D81</f>
        <v>0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0</v>
      </c>
      <c r="D81" s="39">
        <v>0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37017</v>
      </c>
      <c r="D83" s="38">
        <f>+D84+D85</f>
        <v>18696</v>
      </c>
    </row>
    <row r="84" spans="1:4" ht="15">
      <c r="A84" s="37" t="s">
        <v>121</v>
      </c>
      <c r="B84" s="37" t="s">
        <v>197</v>
      </c>
      <c r="C84" s="39">
        <v>28018</v>
      </c>
      <c r="D84" s="39">
        <v>14398</v>
      </c>
    </row>
    <row r="85" spans="1:4" ht="15">
      <c r="A85" s="37" t="s">
        <v>123</v>
      </c>
      <c r="B85" s="37" t="s">
        <v>198</v>
      </c>
      <c r="C85" s="39">
        <v>8999</v>
      </c>
      <c r="D85" s="39">
        <v>4298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215284</v>
      </c>
      <c r="D88" s="36">
        <f>+D43+D56+D71</f>
        <v>234998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0</v>
      </c>
      <c r="D7" s="36">
        <f>+D8+D13+D17+D20+D21+D22+D23</f>
        <v>0</v>
      </c>
    </row>
    <row r="8" spans="1:4" ht="15">
      <c r="A8" s="37"/>
      <c r="B8" s="37" t="s">
        <v>11</v>
      </c>
      <c r="C8" s="38">
        <f>+C9+C10+C11+C12</f>
        <v>0</v>
      </c>
      <c r="D8" s="38">
        <f>+D9+D10+D11+D12</f>
        <v>0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0</v>
      </c>
      <c r="D10" s="39">
        <v>0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0</v>
      </c>
      <c r="D12" s="39">
        <v>0</v>
      </c>
    </row>
    <row r="13" spans="1:4" ht="15">
      <c r="A13" s="37"/>
      <c r="B13" s="37" t="s">
        <v>19</v>
      </c>
      <c r="C13" s="38">
        <f>+C14+C15+C16</f>
        <v>0</v>
      </c>
      <c r="D13" s="38">
        <f>+D14+D15+D16</f>
        <v>0</v>
      </c>
    </row>
    <row r="14" spans="1:4" ht="15">
      <c r="A14" s="37" t="s">
        <v>20</v>
      </c>
      <c r="B14" s="37" t="s">
        <v>159</v>
      </c>
      <c r="C14" s="39">
        <v>0</v>
      </c>
      <c r="D14" s="39">
        <v>0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0</v>
      </c>
      <c r="D16" s="39">
        <v>0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0</v>
      </c>
      <c r="D21" s="39">
        <v>0</v>
      </c>
    </row>
    <row r="22" spans="1:4" ht="15">
      <c r="A22" s="37"/>
      <c r="B22" s="37" t="s">
        <v>32</v>
      </c>
      <c r="C22" s="39">
        <v>0</v>
      </c>
      <c r="D22" s="39">
        <v>0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319</v>
      </c>
      <c r="D24" s="36">
        <f>+D25+D31+D34+D38+D39+D40+D41</f>
        <v>371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0</v>
      </c>
      <c r="D31" s="38">
        <f>+D32+D33</f>
        <v>0</v>
      </c>
    </row>
    <row r="32" spans="1:4" ht="15">
      <c r="A32" s="37" t="s">
        <v>46</v>
      </c>
      <c r="B32" s="37" t="s">
        <v>168</v>
      </c>
      <c r="C32" s="39">
        <v>0</v>
      </c>
      <c r="D32" s="39">
        <v>0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0</v>
      </c>
      <c r="D34" s="38">
        <f>+D35+D36+D37</f>
        <v>6</v>
      </c>
    </row>
    <row r="35" spans="1:4" ht="24">
      <c r="A35" s="37" t="s">
        <v>169</v>
      </c>
      <c r="B35" s="37" t="s">
        <v>170</v>
      </c>
      <c r="C35" s="39">
        <v>0</v>
      </c>
      <c r="D35" s="39">
        <v>0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0</v>
      </c>
      <c r="D37" s="39">
        <v>6</v>
      </c>
    </row>
    <row r="38" spans="1:4" ht="24">
      <c r="A38" s="37" t="s">
        <v>54</v>
      </c>
      <c r="B38" s="37" t="s">
        <v>55</v>
      </c>
      <c r="C38" s="39">
        <v>0</v>
      </c>
      <c r="D38" s="39">
        <v>0</v>
      </c>
    </row>
    <row r="39" spans="1:4" ht="24">
      <c r="A39" s="37" t="s">
        <v>56</v>
      </c>
      <c r="B39" s="37" t="s">
        <v>57</v>
      </c>
      <c r="C39" s="39">
        <v>0</v>
      </c>
      <c r="D39" s="39">
        <v>0</v>
      </c>
    </row>
    <row r="40" spans="1:4" ht="15">
      <c r="A40" s="37" t="s">
        <v>58</v>
      </c>
      <c r="B40" s="37" t="s">
        <v>59</v>
      </c>
      <c r="C40" s="39">
        <v>0</v>
      </c>
      <c r="D40" s="39">
        <v>0</v>
      </c>
    </row>
    <row r="41" spans="1:4" ht="15">
      <c r="A41" s="37"/>
      <c r="B41" s="37" t="s">
        <v>60</v>
      </c>
      <c r="C41" s="39">
        <v>319</v>
      </c>
      <c r="D41" s="39">
        <v>365</v>
      </c>
    </row>
    <row r="42" spans="1:4" ht="15">
      <c r="A42" s="40"/>
      <c r="B42" s="41" t="s">
        <v>61</v>
      </c>
      <c r="C42" s="36">
        <f>+C7+C24</f>
        <v>319</v>
      </c>
      <c r="D42" s="36">
        <f>+D7+D24</f>
        <v>371</v>
      </c>
    </row>
    <row r="43" spans="1:4" ht="15">
      <c r="A43" s="35"/>
      <c r="B43" s="35" t="s">
        <v>173</v>
      </c>
      <c r="C43" s="36">
        <f>+C44+C54+C55</f>
        <v>319</v>
      </c>
      <c r="D43" s="36">
        <f>+D44+D54+D55</f>
        <v>371</v>
      </c>
    </row>
    <row r="44" spans="1:4" ht="15">
      <c r="A44" s="37"/>
      <c r="B44" s="37" t="s">
        <v>63</v>
      </c>
      <c r="C44" s="38">
        <f>+C45+C46+C47+C48+C49+C50+C51+C52+C53</f>
        <v>319</v>
      </c>
      <c r="D44" s="38">
        <f>+D45+D46+D47+D48+D49+D50+D51+D52+D53</f>
        <v>371</v>
      </c>
    </row>
    <row r="45" spans="1:4" ht="24">
      <c r="A45" s="37" t="s">
        <v>174</v>
      </c>
      <c r="B45" s="37" t="s">
        <v>175</v>
      </c>
      <c r="C45" s="39">
        <v>7573</v>
      </c>
      <c r="D45" s="39">
        <v>7573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v>8347</v>
      </c>
      <c r="D47" s="39">
        <v>8347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v>-15539</v>
      </c>
      <c r="D49" s="39">
        <v>-15539</v>
      </c>
    </row>
    <row r="50" spans="1:4" ht="15">
      <c r="A50" s="37"/>
      <c r="B50" s="37" t="s">
        <v>181</v>
      </c>
      <c r="C50" s="39">
        <v>0</v>
      </c>
      <c r="D50" s="39">
        <v>0</v>
      </c>
    </row>
    <row r="51" spans="1:4" ht="15">
      <c r="A51" s="37"/>
      <c r="B51" s="37" t="s">
        <v>182</v>
      </c>
      <c r="C51" s="39">
        <v>-62</v>
      </c>
      <c r="D51" s="39">
        <v>-10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0</v>
      </c>
      <c r="D55" s="39">
        <v>0</v>
      </c>
    </row>
    <row r="56" spans="1:4" ht="15">
      <c r="A56" s="35"/>
      <c r="B56" s="35" t="s">
        <v>185</v>
      </c>
      <c r="C56" s="36">
        <f>+C57+C61+C66+C67+C68+C69+C70</f>
        <v>0</v>
      </c>
      <c r="D56" s="36">
        <f>+D57+D61+D66+D67+D68+D69+D70</f>
        <v>0</v>
      </c>
    </row>
    <row r="57" spans="1:4" ht="15">
      <c r="A57" s="37"/>
      <c r="B57" s="37" t="s">
        <v>83</v>
      </c>
      <c r="C57" s="38">
        <f>+C58+C59+C60</f>
        <v>0</v>
      </c>
      <c r="D57" s="38">
        <f>+D58+D59+D60</f>
        <v>0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0</v>
      </c>
      <c r="D60" s="39">
        <v>0</v>
      </c>
    </row>
    <row r="61" spans="1:4" ht="15">
      <c r="A61" s="37"/>
      <c r="B61" s="37" t="s">
        <v>88</v>
      </c>
      <c r="C61" s="38">
        <f>+C62+C63+C64+C65</f>
        <v>0</v>
      </c>
      <c r="D61" s="38">
        <f>+D62+D63+D64+D65</f>
        <v>0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0</v>
      </c>
      <c r="D65" s="39">
        <v>0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0</v>
      </c>
      <c r="D71" s="36">
        <f>+D72+D73+D77+D82+D83+D86+D87</f>
        <v>0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0</v>
      </c>
      <c r="D73" s="38">
        <f>+D74+D75+D76</f>
        <v>0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0</v>
      </c>
      <c r="D76" s="39">
        <v>0</v>
      </c>
    </row>
    <row r="77" spans="1:4" ht="15">
      <c r="A77" s="37"/>
      <c r="B77" s="37" t="s">
        <v>112</v>
      </c>
      <c r="C77" s="38">
        <f>+C78+C79+C80+C81</f>
        <v>0</v>
      </c>
      <c r="D77" s="38">
        <f>+D78+D79+D80+D81</f>
        <v>0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0</v>
      </c>
      <c r="D81" s="39">
        <v>0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0</v>
      </c>
      <c r="D83" s="38">
        <f>+D84+D85</f>
        <v>0</v>
      </c>
    </row>
    <row r="84" spans="1:4" ht="15">
      <c r="A84" s="37" t="s">
        <v>121</v>
      </c>
      <c r="B84" s="37" t="s">
        <v>197</v>
      </c>
      <c r="C84" s="39">
        <v>0</v>
      </c>
      <c r="D84" s="39">
        <v>0</v>
      </c>
    </row>
    <row r="85" spans="1:4" ht="15">
      <c r="A85" s="37" t="s">
        <v>123</v>
      </c>
      <c r="B85" s="37" t="s">
        <v>198</v>
      </c>
      <c r="C85" s="39">
        <v>0</v>
      </c>
      <c r="D85" s="39">
        <v>0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319</v>
      </c>
      <c r="D88" s="36">
        <f>+D43+D56+D71</f>
        <v>371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69" zoomScaleNormal="69" zoomScalePageLayoutView="0" workbookViewId="0" topLeftCell="A39">
      <selection activeCell="D60" sqref="D60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88" t="s">
        <v>4</v>
      </c>
      <c r="B1" s="88"/>
      <c r="C1" s="88"/>
      <c r="D1" s="88"/>
    </row>
    <row r="2" spans="1:4" ht="20.25" thickBot="1">
      <c r="A2" s="12" t="s">
        <v>5</v>
      </c>
      <c r="B2" s="21" t="s">
        <v>6</v>
      </c>
      <c r="C2" s="12"/>
      <c r="D2" s="12"/>
    </row>
    <row r="3" spans="1:4" ht="15.75" thickBot="1">
      <c r="A3" s="12" t="s">
        <v>5</v>
      </c>
      <c r="B3" s="12" t="s">
        <v>7</v>
      </c>
      <c r="C3" s="12" t="s">
        <v>8</v>
      </c>
      <c r="D3" s="12" t="s">
        <v>9</v>
      </c>
    </row>
    <row r="4" spans="1:4" ht="18.75" customHeight="1" thickBot="1">
      <c r="A4" s="13" t="s">
        <v>5</v>
      </c>
      <c r="B4" s="13" t="s">
        <v>10</v>
      </c>
      <c r="C4" s="14">
        <f>SUM(C5:C11)</f>
        <v>1617</v>
      </c>
      <c r="D4" s="14">
        <f>SUM(D5:D11)</f>
        <v>1739</v>
      </c>
    </row>
    <row r="5" spans="1:4" ht="34.5" thickBot="1">
      <c r="A5" s="15" t="s">
        <v>147</v>
      </c>
      <c r="B5" s="15" t="s">
        <v>11</v>
      </c>
      <c r="C5" s="16">
        <v>55</v>
      </c>
      <c r="D5" s="16">
        <v>87</v>
      </c>
    </row>
    <row r="6" spans="1:4" ht="45.75" thickBot="1">
      <c r="A6" s="15" t="s">
        <v>148</v>
      </c>
      <c r="B6" s="15" t="s">
        <v>19</v>
      </c>
      <c r="C6" s="16">
        <v>615</v>
      </c>
      <c r="D6" s="16">
        <v>687</v>
      </c>
    </row>
    <row r="7" spans="1:4" ht="15.75" thickBot="1">
      <c r="A7" s="15" t="s">
        <v>149</v>
      </c>
      <c r="B7" s="15" t="s">
        <v>24</v>
      </c>
      <c r="C7" s="16"/>
      <c r="D7" s="16"/>
    </row>
    <row r="8" spans="1:4" ht="29.25" customHeight="1" thickBot="1">
      <c r="A8" s="15" t="s">
        <v>28</v>
      </c>
      <c r="B8" s="15" t="s">
        <v>29</v>
      </c>
      <c r="C8" s="16">
        <v>728</v>
      </c>
      <c r="D8" s="16">
        <v>741</v>
      </c>
    </row>
    <row r="9" spans="1:4" ht="35.25" customHeight="1" thickBot="1">
      <c r="A9" s="15" t="s">
        <v>30</v>
      </c>
      <c r="B9" s="15" t="s">
        <v>31</v>
      </c>
      <c r="C9" s="16">
        <v>96</v>
      </c>
      <c r="D9" s="16">
        <v>100</v>
      </c>
    </row>
    <row r="10" spans="1:4" ht="15.75" thickBot="1">
      <c r="A10" s="15"/>
      <c r="B10" s="15" t="s">
        <v>32</v>
      </c>
      <c r="C10" s="16">
        <v>123</v>
      </c>
      <c r="D10" s="16">
        <v>124</v>
      </c>
    </row>
    <row r="11" spans="1:4" ht="15.75" thickBot="1">
      <c r="A11" s="15" t="s">
        <v>33</v>
      </c>
      <c r="B11" s="15" t="s">
        <v>34</v>
      </c>
      <c r="C11" s="16"/>
      <c r="D11" s="16"/>
    </row>
    <row r="12" spans="1:4" ht="15.75" thickBot="1">
      <c r="A12" s="13" t="s">
        <v>5</v>
      </c>
      <c r="B12" s="13" t="s">
        <v>35</v>
      </c>
      <c r="C12" s="14">
        <f>SUM(C13:C15,C19:C22)</f>
        <v>10216</v>
      </c>
      <c r="D12" s="14">
        <f>SUM(D13:D15,D19:D22)</f>
        <v>10082</v>
      </c>
    </row>
    <row r="13" spans="1:4" ht="23.25" thickBot="1">
      <c r="A13" s="15" t="s">
        <v>150</v>
      </c>
      <c r="B13" s="15" t="s">
        <v>36</v>
      </c>
      <c r="C13" s="16"/>
      <c r="D13" s="16"/>
    </row>
    <row r="14" spans="1:4" ht="15.75" thickBot="1">
      <c r="A14" s="15" t="s">
        <v>46</v>
      </c>
      <c r="B14" s="15" t="s">
        <v>45</v>
      </c>
      <c r="C14" s="16">
        <v>83</v>
      </c>
      <c r="D14" s="16">
        <v>83</v>
      </c>
    </row>
    <row r="15" spans="1:4" ht="15.75" thickBot="1">
      <c r="A15" s="15"/>
      <c r="B15" s="15" t="s">
        <v>48</v>
      </c>
      <c r="C15" s="16">
        <f>SUM(C16:C18)</f>
        <v>4422</v>
      </c>
      <c r="D15" s="16">
        <f>SUM(D16:D18)</f>
        <v>5137</v>
      </c>
    </row>
    <row r="16" spans="1:4" ht="24" customHeight="1" thickBot="1">
      <c r="A16" s="15" t="s">
        <v>49</v>
      </c>
      <c r="B16" s="15" t="s">
        <v>50</v>
      </c>
      <c r="C16" s="16">
        <f>3026+1167</f>
        <v>4193</v>
      </c>
      <c r="D16" s="16">
        <f>3734+921</f>
        <v>4655</v>
      </c>
    </row>
    <row r="17" spans="1:4" ht="15.75" thickBot="1">
      <c r="A17" s="15"/>
      <c r="B17" s="15" t="s">
        <v>51</v>
      </c>
      <c r="C17" s="16"/>
      <c r="D17" s="16"/>
    </row>
    <row r="18" spans="1:4" ht="15.75" thickBot="1">
      <c r="A18" s="15" t="s">
        <v>52</v>
      </c>
      <c r="B18" s="15" t="s">
        <v>53</v>
      </c>
      <c r="C18" s="16">
        <f>1+228</f>
        <v>229</v>
      </c>
      <c r="D18" s="16">
        <f>5+280+197</f>
        <v>482</v>
      </c>
    </row>
    <row r="19" spans="1:4" ht="46.5" customHeight="1" thickBot="1">
      <c r="A19" s="15" t="s">
        <v>54</v>
      </c>
      <c r="B19" s="15" t="s">
        <v>55</v>
      </c>
      <c r="C19" s="16">
        <v>369</v>
      </c>
      <c r="D19" s="16">
        <v>0</v>
      </c>
    </row>
    <row r="20" spans="1:4" ht="52.5" customHeight="1" thickBot="1">
      <c r="A20" s="15" t="s">
        <v>56</v>
      </c>
      <c r="B20" s="15" t="s">
        <v>57</v>
      </c>
      <c r="C20" s="16">
        <v>20</v>
      </c>
      <c r="D20" s="16">
        <v>15</v>
      </c>
    </row>
    <row r="21" spans="1:4" ht="15.75" thickBot="1">
      <c r="A21" s="15" t="s">
        <v>58</v>
      </c>
      <c r="B21" s="15" t="s">
        <v>59</v>
      </c>
      <c r="C21" s="16">
        <v>592</v>
      </c>
      <c r="D21" s="16">
        <v>44</v>
      </c>
    </row>
    <row r="22" spans="1:4" ht="15.75" thickBot="1">
      <c r="A22" s="15"/>
      <c r="B22" s="15" t="s">
        <v>60</v>
      </c>
      <c r="C22" s="16">
        <v>4730</v>
      </c>
      <c r="D22" s="16">
        <v>4803</v>
      </c>
    </row>
    <row r="23" spans="1:4" ht="25.5" customHeight="1" thickBot="1">
      <c r="A23" s="17"/>
      <c r="B23" s="17" t="s">
        <v>61</v>
      </c>
      <c r="C23" s="18">
        <f>C4+C12</f>
        <v>11833</v>
      </c>
      <c r="D23" s="18">
        <f>D4+D12</f>
        <v>11821</v>
      </c>
    </row>
    <row r="24" spans="1:4" ht="15.75" thickBot="1">
      <c r="A24" s="13" t="s">
        <v>5</v>
      </c>
      <c r="B24" s="13" t="s">
        <v>62</v>
      </c>
      <c r="C24" s="14">
        <f>C25+C35+C36</f>
        <v>7555</v>
      </c>
      <c r="D24" s="14">
        <f>D25+D35+D36</f>
        <v>7533</v>
      </c>
    </row>
    <row r="25" spans="1:4" ht="15.75" thickBot="1">
      <c r="A25" s="15"/>
      <c r="B25" s="15" t="s">
        <v>63</v>
      </c>
      <c r="C25" s="16">
        <f>SUM(C26:C34)</f>
        <v>7555</v>
      </c>
      <c r="D25" s="16">
        <f>SUM(D26:D34)</f>
        <v>7470</v>
      </c>
    </row>
    <row r="26" spans="1:4" ht="15.75" thickBot="1">
      <c r="A26" s="15" t="s">
        <v>64</v>
      </c>
      <c r="B26" s="15" t="s">
        <v>65</v>
      </c>
      <c r="C26" s="16">
        <v>342</v>
      </c>
      <c r="D26" s="16">
        <v>342</v>
      </c>
    </row>
    <row r="27" spans="1:4" ht="15.75" thickBot="1">
      <c r="A27" s="15"/>
      <c r="B27" s="15" t="s">
        <v>66</v>
      </c>
      <c r="C27" s="16">
        <v>1617</v>
      </c>
      <c r="D27" s="16">
        <v>1617</v>
      </c>
    </row>
    <row r="28" spans="1:4" ht="15.75" thickBot="1">
      <c r="A28" s="15" t="s">
        <v>67</v>
      </c>
      <c r="B28" s="15" t="s">
        <v>68</v>
      </c>
      <c r="C28" s="16">
        <v>4997</v>
      </c>
      <c r="D28" s="16">
        <v>4579</v>
      </c>
    </row>
    <row r="29" spans="1:4" ht="15.75" thickBot="1">
      <c r="A29" s="15" t="s">
        <v>69</v>
      </c>
      <c r="B29" s="15" t="s">
        <v>70</v>
      </c>
      <c r="C29" s="16"/>
      <c r="D29" s="16"/>
    </row>
    <row r="30" spans="1:4" ht="15.75" thickBot="1">
      <c r="A30" s="15" t="s">
        <v>71</v>
      </c>
      <c r="B30" s="15" t="s">
        <v>72</v>
      </c>
      <c r="C30" s="16"/>
      <c r="D30" s="16"/>
    </row>
    <row r="31" spans="1:4" ht="15.75" thickBot="1">
      <c r="A31" s="15"/>
      <c r="B31" s="15" t="s">
        <v>73</v>
      </c>
      <c r="C31" s="16"/>
      <c r="D31" s="16"/>
    </row>
    <row r="32" spans="1:4" ht="15.75" thickBot="1">
      <c r="A32" s="15"/>
      <c r="B32" s="15" t="s">
        <v>74</v>
      </c>
      <c r="C32" s="16">
        <v>599</v>
      </c>
      <c r="D32" s="16">
        <v>932</v>
      </c>
    </row>
    <row r="33" spans="1:4" ht="15.75" thickBot="1">
      <c r="A33" s="15" t="s">
        <v>75</v>
      </c>
      <c r="B33" s="15" t="s">
        <v>76</v>
      </c>
      <c r="C33" s="16"/>
      <c r="D33" s="16"/>
    </row>
    <row r="34" spans="1:4" ht="15.75" thickBot="1">
      <c r="A34" s="15"/>
      <c r="B34" s="15" t="s">
        <v>77</v>
      </c>
      <c r="C34" s="16"/>
      <c r="D34" s="16"/>
    </row>
    <row r="35" spans="1:4" ht="15.75" thickBot="1">
      <c r="A35" s="15" t="s">
        <v>78</v>
      </c>
      <c r="B35" s="15" t="s">
        <v>79</v>
      </c>
      <c r="C35" s="16"/>
      <c r="D35" s="16">
        <v>63</v>
      </c>
    </row>
    <row r="36" spans="1:4" ht="15.75" thickBot="1">
      <c r="A36" s="15" t="s">
        <v>80</v>
      </c>
      <c r="B36" s="15" t="s">
        <v>81</v>
      </c>
      <c r="C36" s="16"/>
      <c r="D36" s="16"/>
    </row>
    <row r="37" spans="1:4" ht="15.75" thickBot="1">
      <c r="A37" s="13" t="s">
        <v>5</v>
      </c>
      <c r="B37" s="13" t="s">
        <v>82</v>
      </c>
      <c r="C37" s="14">
        <f>SUM(C38:C39,C44:C48)</f>
        <v>192</v>
      </c>
      <c r="D37" s="14">
        <f>SUM(D38:D39,D44:D48)</f>
        <v>127</v>
      </c>
    </row>
    <row r="38" spans="1:4" ht="15.75" thickBot="1">
      <c r="A38" s="15" t="s">
        <v>86</v>
      </c>
      <c r="B38" s="15" t="s">
        <v>83</v>
      </c>
      <c r="C38" s="16"/>
      <c r="D38" s="16"/>
    </row>
    <row r="39" spans="1:4" ht="15.75" thickBot="1">
      <c r="A39" s="15"/>
      <c r="B39" s="15" t="s">
        <v>88</v>
      </c>
      <c r="C39" s="16">
        <f>SUM(C40:C43)</f>
        <v>192</v>
      </c>
      <c r="D39" s="16">
        <f>SUM(D40:D43)</f>
        <v>127</v>
      </c>
    </row>
    <row r="40" spans="1:4" ht="15.75" thickBot="1">
      <c r="A40" s="15" t="s">
        <v>89</v>
      </c>
      <c r="B40" s="15" t="s">
        <v>90</v>
      </c>
      <c r="C40" s="16"/>
      <c r="D40" s="16"/>
    </row>
    <row r="41" spans="1:4" ht="15.75" thickBot="1">
      <c r="A41" s="15" t="s">
        <v>91</v>
      </c>
      <c r="B41" s="15" t="s">
        <v>92</v>
      </c>
      <c r="C41" s="16"/>
      <c r="D41" s="16"/>
    </row>
    <row r="42" spans="1:4" ht="15.75" thickBot="1">
      <c r="A42" s="15" t="s">
        <v>93</v>
      </c>
      <c r="B42" s="15" t="s">
        <v>94</v>
      </c>
      <c r="C42" s="16">
        <v>192</v>
      </c>
      <c r="D42" s="16">
        <v>127</v>
      </c>
    </row>
    <row r="43" spans="1:4" ht="18" customHeight="1" thickBot="1">
      <c r="A43" s="15" t="s">
        <v>95</v>
      </c>
      <c r="B43" s="15" t="s">
        <v>96</v>
      </c>
      <c r="C43" s="16"/>
      <c r="D43" s="16"/>
    </row>
    <row r="44" spans="1:4" ht="15.75" thickBot="1">
      <c r="A44" s="15" t="s">
        <v>97</v>
      </c>
      <c r="B44" s="15" t="s">
        <v>98</v>
      </c>
      <c r="C44" s="16"/>
      <c r="D44" s="16"/>
    </row>
    <row r="45" spans="1:4" ht="15.75" thickBot="1">
      <c r="A45" s="15" t="s">
        <v>99</v>
      </c>
      <c r="B45" s="15" t="s">
        <v>100</v>
      </c>
      <c r="C45" s="16"/>
      <c r="D45" s="16"/>
    </row>
    <row r="46" spans="1:4" ht="15.75" thickBot="1">
      <c r="A46" s="15" t="s">
        <v>101</v>
      </c>
      <c r="B46" s="15" t="s">
        <v>102</v>
      </c>
      <c r="C46" s="16"/>
      <c r="D46" s="16"/>
    </row>
    <row r="47" spans="1:4" ht="15.75" thickBot="1">
      <c r="A47" s="15" t="s">
        <v>103</v>
      </c>
      <c r="B47" s="15" t="s">
        <v>104</v>
      </c>
      <c r="C47" s="16"/>
      <c r="D47" s="16"/>
    </row>
    <row r="48" spans="1:4" ht="15.75" thickBot="1">
      <c r="A48" s="15" t="s">
        <v>105</v>
      </c>
      <c r="B48" s="15" t="s">
        <v>106</v>
      </c>
      <c r="C48" s="16"/>
      <c r="D48" s="16"/>
    </row>
    <row r="49" spans="1:4" ht="15.75" thickBot="1">
      <c r="A49" s="13" t="s">
        <v>5</v>
      </c>
      <c r="B49" s="13" t="s">
        <v>107</v>
      </c>
      <c r="C49" s="14">
        <f>SUM(C50:C52,C57:C58,C61:C62)</f>
        <v>4086</v>
      </c>
      <c r="D49" s="14">
        <f>SUM(D50:D52,D57:D58,D61:D62)</f>
        <v>4161</v>
      </c>
    </row>
    <row r="50" spans="1:4" ht="15.75" thickBot="1">
      <c r="A50" s="15" t="s">
        <v>108</v>
      </c>
      <c r="B50" s="15" t="s">
        <v>109</v>
      </c>
      <c r="C50" s="16"/>
      <c r="D50" s="16"/>
    </row>
    <row r="51" spans="1:4" ht="15.75" thickBot="1">
      <c r="A51" s="15" t="s">
        <v>111</v>
      </c>
      <c r="B51" s="15" t="s">
        <v>110</v>
      </c>
      <c r="C51" s="16">
        <v>49</v>
      </c>
      <c r="D51" s="16">
        <v>49</v>
      </c>
    </row>
    <row r="52" spans="1:4" ht="15.75" thickBot="1">
      <c r="A52" s="15"/>
      <c r="B52" s="15" t="s">
        <v>112</v>
      </c>
      <c r="C52" s="16">
        <f>SUM(C53:C56)</f>
        <v>26</v>
      </c>
      <c r="D52" s="16">
        <f>SUM(D53:D56)</f>
        <v>85</v>
      </c>
    </row>
    <row r="53" spans="1:4" ht="15.75" thickBot="1">
      <c r="A53" s="15" t="s">
        <v>113</v>
      </c>
      <c r="B53" s="15" t="s">
        <v>90</v>
      </c>
      <c r="C53" s="16"/>
      <c r="D53" s="16"/>
    </row>
    <row r="54" spans="1:4" ht="15.75" thickBot="1">
      <c r="A54" s="15" t="s">
        <v>114</v>
      </c>
      <c r="B54" s="15" t="s">
        <v>92</v>
      </c>
      <c r="C54" s="16"/>
      <c r="D54" s="16"/>
    </row>
    <row r="55" spans="1:4" ht="15.75" thickBot="1">
      <c r="A55" s="15" t="s">
        <v>115</v>
      </c>
      <c r="B55" s="15" t="s">
        <v>94</v>
      </c>
      <c r="C55" s="16">
        <v>26</v>
      </c>
      <c r="D55" s="16">
        <v>85</v>
      </c>
    </row>
    <row r="56" spans="1:4" ht="42" customHeight="1" thickBot="1">
      <c r="A56" s="15" t="s">
        <v>116</v>
      </c>
      <c r="B56" s="15" t="s">
        <v>117</v>
      </c>
      <c r="C56" s="16"/>
      <c r="D56" s="16"/>
    </row>
    <row r="57" spans="1:4" ht="31.5" customHeight="1" thickBot="1">
      <c r="A57" s="15" t="s">
        <v>118</v>
      </c>
      <c r="B57" s="15" t="s">
        <v>119</v>
      </c>
      <c r="C57" s="16"/>
      <c r="D57" s="16"/>
    </row>
    <row r="58" spans="1:4" ht="15.75" thickBot="1">
      <c r="A58" s="15"/>
      <c r="B58" s="15" t="s">
        <v>120</v>
      </c>
      <c r="C58" s="16">
        <f>SUM(C59:C60)</f>
        <v>3539</v>
      </c>
      <c r="D58" s="16">
        <f>SUM(D59:D60)</f>
        <v>3299</v>
      </c>
    </row>
    <row r="59" spans="1:4" ht="15.75" thickBot="1">
      <c r="A59" s="15" t="s">
        <v>121</v>
      </c>
      <c r="B59" s="15" t="s">
        <v>122</v>
      </c>
      <c r="C59" s="16">
        <v>923</v>
      </c>
      <c r="D59" s="16">
        <v>584</v>
      </c>
    </row>
    <row r="60" spans="1:4" ht="15.75" thickBot="1">
      <c r="A60" s="15" t="s">
        <v>123</v>
      </c>
      <c r="B60" s="15" t="s">
        <v>124</v>
      </c>
      <c r="C60" s="16">
        <f>2614+2</f>
        <v>2616</v>
      </c>
      <c r="D60" s="16">
        <f>1188+882+642+3</f>
        <v>2715</v>
      </c>
    </row>
    <row r="61" spans="1:4" ht="15.75" thickBot="1">
      <c r="A61" s="15" t="s">
        <v>125</v>
      </c>
      <c r="B61" s="15" t="s">
        <v>126</v>
      </c>
      <c r="C61" s="16">
        <v>472</v>
      </c>
      <c r="D61" s="16">
        <v>728</v>
      </c>
    </row>
    <row r="62" spans="1:4" ht="15.75" thickBot="1">
      <c r="A62" s="15" t="s">
        <v>127</v>
      </c>
      <c r="B62" s="15" t="s">
        <v>128</v>
      </c>
      <c r="C62" s="16"/>
      <c r="D62" s="16"/>
    </row>
    <row r="63" spans="1:4" ht="23.25" customHeight="1" thickBot="1">
      <c r="A63" s="17"/>
      <c r="B63" s="17" t="s">
        <v>129</v>
      </c>
      <c r="C63" s="18">
        <f>C24+C37+C49</f>
        <v>11833</v>
      </c>
      <c r="D63" s="18">
        <f>D24+D37+D49</f>
        <v>11821</v>
      </c>
    </row>
  </sheetData>
  <sheetProtection/>
  <mergeCells count="1">
    <mergeCell ref="A1:D1"/>
  </mergeCells>
  <printOptions/>
  <pageMargins left="0.2362204724409449" right="0.2362204724409449" top="0.9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79007</v>
      </c>
      <c r="D7" s="36">
        <f>+D8+D13+D17+D20+D21+D22+D23</f>
        <v>78960</v>
      </c>
    </row>
    <row r="8" spans="1:4" ht="15">
      <c r="A8" s="37"/>
      <c r="B8" s="37" t="s">
        <v>11</v>
      </c>
      <c r="C8" s="38">
        <f>+C9+C10+C11+C12</f>
        <v>0</v>
      </c>
      <c r="D8" s="38">
        <f>+D9+D10+D11+D12</f>
        <v>0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0</v>
      </c>
      <c r="D10" s="39">
        <v>0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0</v>
      </c>
      <c r="D12" s="39">
        <v>0</v>
      </c>
    </row>
    <row r="13" spans="1:4" ht="15">
      <c r="A13" s="37"/>
      <c r="B13" s="37" t="s">
        <v>19</v>
      </c>
      <c r="C13" s="38">
        <f>+C14+C15+C16</f>
        <v>940</v>
      </c>
      <c r="D13" s="38">
        <f>+D14+D15+D16</f>
        <v>934</v>
      </c>
    </row>
    <row r="14" spans="1:4" ht="15">
      <c r="A14" s="37" t="s">
        <v>20</v>
      </c>
      <c r="B14" s="37" t="s">
        <v>159</v>
      </c>
      <c r="C14" s="39">
        <f>D14</f>
        <v>753</v>
      </c>
      <c r="D14" s="39">
        <v>753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f>D16+1+5</f>
        <v>187</v>
      </c>
      <c r="D16" s="39">
        <v>181</v>
      </c>
    </row>
    <row r="17" spans="1:4" ht="15">
      <c r="A17" s="37"/>
      <c r="B17" s="37" t="s">
        <v>24</v>
      </c>
      <c r="C17" s="38">
        <f>+C18+C19</f>
        <v>77358</v>
      </c>
      <c r="D17" s="38">
        <f>+D18+D19</f>
        <v>77325</v>
      </c>
    </row>
    <row r="18" spans="1:4" ht="15">
      <c r="A18" s="37" t="s">
        <v>25</v>
      </c>
      <c r="B18" s="37" t="s">
        <v>159</v>
      </c>
      <c r="C18" s="39">
        <f>D18</f>
        <v>33562</v>
      </c>
      <c r="D18" s="39">
        <v>33562</v>
      </c>
    </row>
    <row r="19" spans="1:4" ht="15">
      <c r="A19" s="37" t="s">
        <v>26</v>
      </c>
      <c r="B19" s="37" t="s">
        <v>161</v>
      </c>
      <c r="C19" s="39">
        <f>D19+2+7+20+4</f>
        <v>43796</v>
      </c>
      <c r="D19" s="39">
        <v>43763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f>D21+8</f>
        <v>150</v>
      </c>
      <c r="D21" s="39">
        <v>142</v>
      </c>
    </row>
    <row r="22" spans="1:4" ht="15">
      <c r="A22" s="37"/>
      <c r="B22" s="37" t="s">
        <v>32</v>
      </c>
      <c r="C22" s="39">
        <f>D22</f>
        <v>559</v>
      </c>
      <c r="D22" s="39">
        <v>559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90515</v>
      </c>
      <c r="D24" s="36">
        <f>+D25+D31+D34+D38+D39+D40+D41</f>
        <v>57034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0</v>
      </c>
      <c r="D31" s="38">
        <f>+D32+D33</f>
        <v>0</v>
      </c>
    </row>
    <row r="32" spans="1:4" ht="15">
      <c r="A32" s="37" t="s">
        <v>46</v>
      </c>
      <c r="B32" s="37" t="s">
        <v>168</v>
      </c>
      <c r="C32" s="39">
        <v>0</v>
      </c>
      <c r="D32" s="39">
        <v>0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15350</v>
      </c>
      <c r="D34" s="38">
        <f>+D35+D36+D37</f>
        <v>10187</v>
      </c>
    </row>
    <row r="35" spans="1:4" ht="24">
      <c r="A35" s="37" t="s">
        <v>169</v>
      </c>
      <c r="B35" s="37" t="s">
        <v>170</v>
      </c>
      <c r="C35" s="39">
        <v>1187</v>
      </c>
      <c r="D35" s="39">
        <v>1766</v>
      </c>
    </row>
    <row r="36" spans="1:4" ht="15">
      <c r="A36" s="37"/>
      <c r="B36" s="37" t="s">
        <v>171</v>
      </c>
      <c r="C36" s="39">
        <v>0</v>
      </c>
      <c r="D36" s="39"/>
    </row>
    <row r="37" spans="1:4" ht="15">
      <c r="A37" s="37" t="s">
        <v>52</v>
      </c>
      <c r="B37" s="37" t="s">
        <v>172</v>
      </c>
      <c r="C37" s="39">
        <v>14163</v>
      </c>
      <c r="D37" s="39">
        <v>8421</v>
      </c>
    </row>
    <row r="38" spans="1:4" ht="24.75" thickBot="1">
      <c r="A38" s="37" t="s">
        <v>54</v>
      </c>
      <c r="B38" s="37" t="s">
        <v>55</v>
      </c>
      <c r="C38" s="39">
        <v>0</v>
      </c>
      <c r="D38" s="39">
        <v>0</v>
      </c>
    </row>
    <row r="39" spans="1:4" ht="24.75" thickBot="1">
      <c r="A39" s="37" t="s">
        <v>56</v>
      </c>
      <c r="B39" s="37" t="s">
        <v>57</v>
      </c>
      <c r="C39" s="39">
        <v>15008</v>
      </c>
      <c r="D39" s="16">
        <f>10+15000</f>
        <v>15010</v>
      </c>
    </row>
    <row r="40" spans="1:4" ht="15.75" thickBot="1">
      <c r="A40" s="37" t="s">
        <v>58</v>
      </c>
      <c r="B40" s="37" t="s">
        <v>59</v>
      </c>
      <c r="C40" s="39">
        <v>115</v>
      </c>
      <c r="D40" s="16">
        <v>69</v>
      </c>
    </row>
    <row r="41" spans="1:4" ht="15.75" thickBot="1">
      <c r="A41" s="37"/>
      <c r="B41" s="37" t="s">
        <v>60</v>
      </c>
      <c r="C41" s="39">
        <v>60042</v>
      </c>
      <c r="D41" s="16">
        <v>31768</v>
      </c>
    </row>
    <row r="42" spans="1:4" ht="15">
      <c r="A42" s="40"/>
      <c r="B42" s="41" t="s">
        <v>61</v>
      </c>
      <c r="C42" s="36">
        <f>+C7+C24</f>
        <v>169522</v>
      </c>
      <c r="D42" s="36">
        <f>+D7+D24</f>
        <v>135994</v>
      </c>
    </row>
    <row r="43" spans="1:4" ht="15">
      <c r="A43" s="35"/>
      <c r="B43" s="35" t="s">
        <v>173</v>
      </c>
      <c r="C43" s="36">
        <f>+C44+C54+C55</f>
        <v>116736</v>
      </c>
      <c r="D43" s="36">
        <f>+D44+D54+D55</f>
        <v>114021</v>
      </c>
    </row>
    <row r="44" spans="1:4" ht="15">
      <c r="A44" s="37"/>
      <c r="B44" s="37" t="s">
        <v>63</v>
      </c>
      <c r="C44" s="38">
        <f>+C45+C46+C47+C48+C49+C50+C51+C52+C53</f>
        <v>116736</v>
      </c>
      <c r="D44" s="38">
        <f>+D45+D46+D47+D48+D49+D50+D51+D52+D53</f>
        <v>114021</v>
      </c>
    </row>
    <row r="45" spans="1:4" ht="24">
      <c r="A45" s="37" t="s">
        <v>174</v>
      </c>
      <c r="B45" s="37" t="s">
        <v>175</v>
      </c>
      <c r="C45" s="39">
        <f>D45</f>
        <v>104767</v>
      </c>
      <c r="D45" s="39">
        <v>104767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f>D47+1624</f>
        <v>9254</v>
      </c>
      <c r="D47" s="39">
        <v>7630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v>0</v>
      </c>
      <c r="D49" s="39">
        <v>0</v>
      </c>
    </row>
    <row r="50" spans="1:4" ht="15">
      <c r="A50" s="37"/>
      <c r="B50" s="37" t="s">
        <v>181</v>
      </c>
      <c r="C50" s="39">
        <v>0</v>
      </c>
      <c r="D50" s="39">
        <v>0</v>
      </c>
    </row>
    <row r="51" spans="1:4" ht="15">
      <c r="A51" s="37"/>
      <c r="B51" s="37" t="s">
        <v>182</v>
      </c>
      <c r="C51" s="39">
        <f>'[1]D2'!C64</f>
        <v>2715</v>
      </c>
      <c r="D51" s="39">
        <f>'[1]D2'!D64</f>
        <v>1624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0</v>
      </c>
      <c r="D55" s="39">
        <v>0</v>
      </c>
    </row>
    <row r="56" spans="1:4" ht="15">
      <c r="A56" s="35"/>
      <c r="B56" s="35" t="s">
        <v>185</v>
      </c>
      <c r="C56" s="36">
        <f>+C57+C61+C66+C67+C68+C69+C70</f>
        <v>137</v>
      </c>
      <c r="D56" s="36">
        <f>+D57+D61+D66+D67+D68+D69+D70</f>
        <v>123</v>
      </c>
    </row>
    <row r="57" spans="1:4" ht="15">
      <c r="A57" s="37"/>
      <c r="B57" s="37" t="s">
        <v>83</v>
      </c>
      <c r="C57" s="38">
        <f>+C58+C59+C60</f>
        <v>0</v>
      </c>
      <c r="D57" s="38">
        <f>+D58+D59+D60</f>
        <v>0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0</v>
      </c>
      <c r="D60" s="39">
        <v>0</v>
      </c>
    </row>
    <row r="61" spans="1:4" ht="15">
      <c r="A61" s="37"/>
      <c r="B61" s="37" t="s">
        <v>88</v>
      </c>
      <c r="C61" s="38">
        <f>+C62+C63+C64+C65</f>
        <v>137</v>
      </c>
      <c r="D61" s="38">
        <f>+D62+D63+D64+D65</f>
        <v>123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137</v>
      </c>
      <c r="D65" s="39">
        <v>123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52649</v>
      </c>
      <c r="D71" s="36">
        <f>+D72+D73+D77+D82+D83+D86+D87</f>
        <v>21850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0</v>
      </c>
      <c r="D73" s="38">
        <f>+D74+D75+D76</f>
        <v>881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0</v>
      </c>
      <c r="D76" s="39">
        <v>881</v>
      </c>
    </row>
    <row r="77" spans="1:4" ht="15">
      <c r="A77" s="37"/>
      <c r="B77" s="37" t="s">
        <v>112</v>
      </c>
      <c r="C77" s="38">
        <f>+C78+C79+C80+C81</f>
        <v>5</v>
      </c>
      <c r="D77" s="38">
        <f>+D78+D79+D80+D81</f>
        <v>3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5</v>
      </c>
      <c r="D81" s="39">
        <v>3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52644</v>
      </c>
      <c r="D83" s="38">
        <f>+D84+D85</f>
        <v>20966</v>
      </c>
    </row>
    <row r="84" spans="1:4" ht="15">
      <c r="A84" s="37" t="s">
        <v>121</v>
      </c>
      <c r="B84" s="37" t="s">
        <v>197</v>
      </c>
      <c r="C84" s="39">
        <v>52079</v>
      </c>
      <c r="D84" s="39">
        <v>20641</v>
      </c>
    </row>
    <row r="85" spans="1:4" ht="15">
      <c r="A85" s="37" t="s">
        <v>123</v>
      </c>
      <c r="B85" s="37" t="s">
        <v>198</v>
      </c>
      <c r="C85" s="39">
        <v>565</v>
      </c>
      <c r="D85" s="39">
        <v>325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169522</v>
      </c>
      <c r="D88" s="36">
        <f>+D43+D56+D71</f>
        <v>135994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5" width="9.140625" style="49" customWidth="1"/>
    <col min="6" max="6" width="9.421875" style="49" bestFit="1" customWidth="1"/>
    <col min="7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 t="s">
        <v>3</v>
      </c>
      <c r="B2" s="77"/>
      <c r="C2" s="77"/>
      <c r="D2" s="78"/>
    </row>
    <row r="3" spans="1:4" s="48" customFormat="1" ht="19.5" customHeight="1" thickBot="1">
      <c r="A3" s="79" t="s">
        <v>3</v>
      </c>
      <c r="B3" s="80"/>
      <c r="C3" s="80"/>
      <c r="D3" s="80"/>
    </row>
    <row r="4" spans="1:4" ht="19.5" customHeight="1" thickBot="1">
      <c r="A4" s="81" t="s">
        <v>130</v>
      </c>
      <c r="B4" s="81"/>
      <c r="C4" s="81"/>
      <c r="D4" s="81"/>
    </row>
    <row r="5" spans="1:4" ht="15.75" thickBot="1">
      <c r="A5" s="34" t="s">
        <v>5</v>
      </c>
      <c r="B5" s="34" t="s">
        <v>6</v>
      </c>
      <c r="C5" s="34" t="s">
        <v>3</v>
      </c>
      <c r="D5" s="34" t="s">
        <v>3</v>
      </c>
    </row>
    <row r="6" spans="1:4" ht="15.75" thickBot="1">
      <c r="A6" s="34" t="s">
        <v>5</v>
      </c>
      <c r="B6" s="34" t="s">
        <v>7</v>
      </c>
      <c r="C6" s="34" t="s">
        <v>8</v>
      </c>
      <c r="D6" s="34" t="s">
        <v>9</v>
      </c>
    </row>
    <row r="7" spans="1:4" ht="15">
      <c r="A7" s="35" t="s">
        <v>5</v>
      </c>
      <c r="B7" s="35" t="s">
        <v>10</v>
      </c>
      <c r="C7" s="36">
        <f>C8+C13+C17+C20+C21+C22+C23</f>
        <v>113449</v>
      </c>
      <c r="D7" s="36">
        <f>D8+D13+D17+D20+D21+D22+D23</f>
        <v>113528</v>
      </c>
    </row>
    <row r="8" spans="1:4" ht="15">
      <c r="A8" s="37" t="s">
        <v>3</v>
      </c>
      <c r="B8" s="37" t="s">
        <v>11</v>
      </c>
      <c r="C8" s="38">
        <f>C9+C10+C11+C12</f>
        <v>91750</v>
      </c>
      <c r="D8" s="38">
        <f>D9+D10+D11+D12</f>
        <v>92423</v>
      </c>
    </row>
    <row r="9" spans="1:4" ht="15">
      <c r="A9" s="37" t="s">
        <v>12</v>
      </c>
      <c r="B9" s="37" t="s">
        <v>13</v>
      </c>
      <c r="C9" s="39"/>
      <c r="D9" s="39"/>
    </row>
    <row r="10" spans="1:4" ht="15">
      <c r="A10" s="37" t="s">
        <v>14</v>
      </c>
      <c r="B10" s="37" t="s">
        <v>15</v>
      </c>
      <c r="C10" s="39">
        <v>206</v>
      </c>
      <c r="D10" s="39">
        <v>274</v>
      </c>
    </row>
    <row r="11" spans="1:4" ht="15">
      <c r="A11" s="37" t="s">
        <v>3</v>
      </c>
      <c r="B11" s="37" t="s">
        <v>16</v>
      </c>
      <c r="C11" s="39"/>
      <c r="D11" s="39"/>
    </row>
    <row r="12" spans="1:4" ht="15">
      <c r="A12" s="37" t="s">
        <v>17</v>
      </c>
      <c r="B12" s="37" t="s">
        <v>18</v>
      </c>
      <c r="C12" s="45">
        <v>91544</v>
      </c>
      <c r="D12" s="45">
        <v>92149</v>
      </c>
    </row>
    <row r="13" spans="1:4" ht="15">
      <c r="A13" s="37" t="s">
        <v>3</v>
      </c>
      <c r="B13" s="37" t="s">
        <v>19</v>
      </c>
      <c r="C13" s="38">
        <f>SUM(C14:C16)</f>
        <v>21699</v>
      </c>
      <c r="D13" s="38">
        <f>SUM(D14:D16)</f>
        <v>21105</v>
      </c>
    </row>
    <row r="14" spans="1:4" ht="15">
      <c r="A14" s="37" t="s">
        <v>20</v>
      </c>
      <c r="B14" s="37" t="s">
        <v>21</v>
      </c>
      <c r="C14" s="39"/>
      <c r="D14" s="39"/>
    </row>
    <row r="15" spans="1:4" ht="15">
      <c r="A15" s="37" t="s">
        <v>3</v>
      </c>
      <c r="B15" s="37" t="s">
        <v>16</v>
      </c>
      <c r="C15" s="39"/>
      <c r="D15" s="39"/>
    </row>
    <row r="16" spans="1:4" ht="24">
      <c r="A16" s="37" t="s">
        <v>22</v>
      </c>
      <c r="B16" s="37" t="s">
        <v>23</v>
      </c>
      <c r="C16" s="39">
        <v>21699</v>
      </c>
      <c r="D16" s="39">
        <v>21105</v>
      </c>
    </row>
    <row r="17" spans="1:4" ht="15">
      <c r="A17" s="37" t="s">
        <v>3</v>
      </c>
      <c r="B17" s="37" t="s">
        <v>24</v>
      </c>
      <c r="C17" s="38">
        <f>C18+C19</f>
        <v>0</v>
      </c>
      <c r="D17" s="38">
        <f>D18+D19</f>
        <v>0</v>
      </c>
    </row>
    <row r="18" spans="1:4" ht="15">
      <c r="A18" s="37" t="s">
        <v>25</v>
      </c>
      <c r="B18" s="37" t="s">
        <v>21</v>
      </c>
      <c r="C18" s="39"/>
      <c r="D18" s="39"/>
    </row>
    <row r="19" spans="1:4" ht="15">
      <c r="A19" s="37" t="s">
        <v>26</v>
      </c>
      <c r="B19" s="37" t="s">
        <v>27</v>
      </c>
      <c r="C19" s="39"/>
      <c r="D19" s="39"/>
    </row>
    <row r="20" spans="1:4" ht="24">
      <c r="A20" s="37" t="s">
        <v>28</v>
      </c>
      <c r="B20" s="37" t="s">
        <v>29</v>
      </c>
      <c r="C20" s="39"/>
      <c r="D20" s="39"/>
    </row>
    <row r="21" spans="1:4" ht="24">
      <c r="A21" s="37" t="s">
        <v>30</v>
      </c>
      <c r="B21" s="37" t="s">
        <v>31</v>
      </c>
      <c r="C21" s="39"/>
      <c r="D21" s="39"/>
    </row>
    <row r="22" spans="1:4" ht="15">
      <c r="A22" s="37" t="s">
        <v>3</v>
      </c>
      <c r="B22" s="37" t="s">
        <v>32</v>
      </c>
      <c r="C22" s="39"/>
      <c r="D22" s="39"/>
    </row>
    <row r="23" spans="1:4" ht="15">
      <c r="A23" s="37" t="s">
        <v>33</v>
      </c>
      <c r="B23" s="37" t="s">
        <v>34</v>
      </c>
      <c r="C23" s="39"/>
      <c r="D23" s="39"/>
    </row>
    <row r="24" spans="1:4" ht="15">
      <c r="A24" s="35" t="s">
        <v>5</v>
      </c>
      <c r="B24" s="35" t="s">
        <v>35</v>
      </c>
      <c r="C24" s="36">
        <f>SUM(C25+C31+C34+C38+C39+C40+C41)</f>
        <v>17228</v>
      </c>
      <c r="D24" s="36">
        <f>SUM(D25+D31+D34+D38+D39+D40+D41)</f>
        <v>33009</v>
      </c>
    </row>
    <row r="25" spans="1:4" ht="15">
      <c r="A25" s="37" t="s">
        <v>3</v>
      </c>
      <c r="B25" s="37" t="s">
        <v>36</v>
      </c>
      <c r="C25" s="38">
        <f>C26+C29+C30</f>
        <v>0</v>
      </c>
      <c r="D25" s="38">
        <f>D26+D29+D30</f>
        <v>0</v>
      </c>
    </row>
    <row r="26" spans="1:4" ht="15">
      <c r="A26" s="37" t="s">
        <v>3</v>
      </c>
      <c r="B26" s="37" t="s">
        <v>37</v>
      </c>
      <c r="C26" s="39">
        <f>C27+C28</f>
        <v>0</v>
      </c>
      <c r="D26" s="39">
        <f>D27+D28</f>
        <v>0</v>
      </c>
    </row>
    <row r="27" spans="1:4" ht="15">
      <c r="A27" s="37" t="s">
        <v>38</v>
      </c>
      <c r="B27" s="37" t="s">
        <v>39</v>
      </c>
      <c r="C27" s="39"/>
      <c r="D27" s="39"/>
    </row>
    <row r="28" spans="1:4" ht="15">
      <c r="A28" s="37" t="s">
        <v>38</v>
      </c>
      <c r="B28" s="37" t="s">
        <v>40</v>
      </c>
      <c r="C28" s="39"/>
      <c r="D28" s="39"/>
    </row>
    <row r="29" spans="1:4" ht="15">
      <c r="A29" s="37" t="s">
        <v>41</v>
      </c>
      <c r="B29" s="37" t="s">
        <v>42</v>
      </c>
      <c r="C29" s="39"/>
      <c r="D29" s="39"/>
    </row>
    <row r="30" spans="1:4" ht="15">
      <c r="A30" s="37" t="s">
        <v>43</v>
      </c>
      <c r="B30" s="37" t="s">
        <v>44</v>
      </c>
      <c r="C30" s="39"/>
      <c r="D30" s="39"/>
    </row>
    <row r="31" spans="1:4" ht="15">
      <c r="A31" s="37" t="s">
        <v>3</v>
      </c>
      <c r="B31" s="37" t="s">
        <v>45</v>
      </c>
      <c r="C31" s="38">
        <f>C32+C33</f>
        <v>2133</v>
      </c>
      <c r="D31" s="38">
        <f>D32+D33</f>
        <v>1872</v>
      </c>
    </row>
    <row r="32" spans="1:4" ht="15">
      <c r="A32" s="37" t="s">
        <v>46</v>
      </c>
      <c r="B32" s="37" t="s">
        <v>47</v>
      </c>
      <c r="C32" s="39">
        <v>2133</v>
      </c>
      <c r="D32" s="39">
        <v>1872</v>
      </c>
    </row>
    <row r="33" spans="1:4" ht="15">
      <c r="A33" s="37" t="s">
        <v>3</v>
      </c>
      <c r="B33" s="37" t="s">
        <v>16</v>
      </c>
      <c r="C33" s="39"/>
      <c r="D33" s="39"/>
    </row>
    <row r="34" spans="1:4" ht="15">
      <c r="A34" s="37" t="s">
        <v>3</v>
      </c>
      <c r="B34" s="37" t="s">
        <v>48</v>
      </c>
      <c r="C34" s="38">
        <f>C35+C36+C37</f>
        <v>911</v>
      </c>
      <c r="D34" s="38">
        <f>D35+D36+D37</f>
        <v>17299</v>
      </c>
    </row>
    <row r="35" spans="1:4" ht="15">
      <c r="A35" s="37" t="s">
        <v>49</v>
      </c>
      <c r="B35" s="37" t="s">
        <v>50</v>
      </c>
      <c r="C35" s="39">
        <v>246</v>
      </c>
      <c r="D35" s="39">
        <v>208</v>
      </c>
    </row>
    <row r="36" spans="1:4" ht="15">
      <c r="A36" s="37" t="s">
        <v>3</v>
      </c>
      <c r="B36" s="37" t="s">
        <v>51</v>
      </c>
      <c r="C36" s="39"/>
      <c r="D36" s="39"/>
    </row>
    <row r="37" spans="1:4" ht="15">
      <c r="A37" s="37" t="s">
        <v>52</v>
      </c>
      <c r="B37" s="37" t="s">
        <v>53</v>
      </c>
      <c r="C37" s="39">
        <v>665</v>
      </c>
      <c r="D37" s="39">
        <v>17091</v>
      </c>
    </row>
    <row r="38" spans="1:4" ht="24">
      <c r="A38" s="37" t="s">
        <v>54</v>
      </c>
      <c r="B38" s="37" t="s">
        <v>55</v>
      </c>
      <c r="C38" s="39"/>
      <c r="D38" s="39"/>
    </row>
    <row r="39" spans="1:4" ht="24">
      <c r="A39" s="37" t="s">
        <v>56</v>
      </c>
      <c r="B39" s="37" t="s">
        <v>57</v>
      </c>
      <c r="C39" s="39"/>
      <c r="D39" s="39"/>
    </row>
    <row r="40" spans="1:4" ht="15">
      <c r="A40" s="37" t="s">
        <v>58</v>
      </c>
      <c r="B40" s="37" t="s">
        <v>59</v>
      </c>
      <c r="C40" s="39">
        <v>0</v>
      </c>
      <c r="D40" s="39">
        <v>0</v>
      </c>
    </row>
    <row r="41" spans="1:4" ht="15">
      <c r="A41" s="37" t="s">
        <v>3</v>
      </c>
      <c r="B41" s="37" t="s">
        <v>60</v>
      </c>
      <c r="C41" s="39">
        <v>14184</v>
      </c>
      <c r="D41" s="39">
        <v>13838</v>
      </c>
    </row>
    <row r="42" spans="1:4" ht="15">
      <c r="A42" s="40" t="s">
        <v>3</v>
      </c>
      <c r="B42" s="41" t="s">
        <v>61</v>
      </c>
      <c r="C42" s="36">
        <f>C7+C24</f>
        <v>130677</v>
      </c>
      <c r="D42" s="36">
        <f>D7+D24</f>
        <v>146537</v>
      </c>
    </row>
    <row r="43" spans="1:4" ht="15">
      <c r="A43" s="35" t="s">
        <v>5</v>
      </c>
      <c r="B43" s="35" t="s">
        <v>62</v>
      </c>
      <c r="C43" s="36">
        <f>C44+C54+C55</f>
        <v>107147</v>
      </c>
      <c r="D43" s="36">
        <f>D44+D54+D55</f>
        <v>118993</v>
      </c>
    </row>
    <row r="44" spans="1:4" ht="15">
      <c r="A44" s="37" t="s">
        <v>3</v>
      </c>
      <c r="B44" s="37" t="s">
        <v>63</v>
      </c>
      <c r="C44" s="38">
        <f>SUM(C45:C53)</f>
        <v>12309</v>
      </c>
      <c r="D44" s="38">
        <f>SUM(D45:D53)</f>
        <v>24905</v>
      </c>
    </row>
    <row r="45" spans="1:4" ht="15">
      <c r="A45" s="37" t="s">
        <v>64</v>
      </c>
      <c r="B45" s="37" t="s">
        <v>65</v>
      </c>
      <c r="C45" s="39">
        <v>3005</v>
      </c>
      <c r="D45" s="39">
        <v>3005</v>
      </c>
    </row>
    <row r="46" spans="1:4" ht="15">
      <c r="A46" s="37" t="s">
        <v>3</v>
      </c>
      <c r="B46" s="37" t="s">
        <v>66</v>
      </c>
      <c r="C46" s="39"/>
      <c r="D46" s="39"/>
    </row>
    <row r="47" spans="1:4" ht="15">
      <c r="A47" s="37" t="s">
        <v>67</v>
      </c>
      <c r="B47" s="37" t="s">
        <v>68</v>
      </c>
      <c r="C47" s="39">
        <v>21898</v>
      </c>
      <c r="D47" s="39">
        <v>19345</v>
      </c>
    </row>
    <row r="48" spans="1:4" ht="15">
      <c r="A48" s="37" t="s">
        <v>69</v>
      </c>
      <c r="B48" s="37" t="s">
        <v>70</v>
      </c>
      <c r="C48" s="39"/>
      <c r="D48" s="39"/>
    </row>
    <row r="49" spans="1:4" ht="15">
      <c r="A49" s="37" t="s">
        <v>71</v>
      </c>
      <c r="B49" s="37" t="s">
        <v>72</v>
      </c>
      <c r="C49" s="39">
        <v>0</v>
      </c>
      <c r="D49" s="39">
        <v>0</v>
      </c>
    </row>
    <row r="50" spans="1:6" ht="15">
      <c r="A50" s="37" t="s">
        <v>3</v>
      </c>
      <c r="B50" s="37" t="s">
        <v>73</v>
      </c>
      <c r="C50" s="39">
        <v>88687</v>
      </c>
      <c r="D50" s="39">
        <v>134665</v>
      </c>
      <c r="F50" s="53"/>
    </row>
    <row r="51" spans="1:4" ht="15">
      <c r="A51" s="37" t="s">
        <v>3</v>
      </c>
      <c r="B51" s="37" t="s">
        <v>74</v>
      </c>
      <c r="C51" s="39">
        <f>+'[2]D2'!C64</f>
        <v>-101281</v>
      </c>
      <c r="D51" s="39">
        <f>+'[2]D2'!D64</f>
        <v>-132110</v>
      </c>
    </row>
    <row r="52" spans="1:4" ht="15">
      <c r="A52" s="37" t="s">
        <v>75</v>
      </c>
      <c r="B52" s="37" t="s">
        <v>76</v>
      </c>
      <c r="C52" s="39"/>
      <c r="D52" s="39"/>
    </row>
    <row r="53" spans="1:4" ht="15">
      <c r="A53" s="37" t="s">
        <v>3</v>
      </c>
      <c r="B53" s="37" t="s">
        <v>77</v>
      </c>
      <c r="C53" s="39"/>
      <c r="D53" s="39"/>
    </row>
    <row r="54" spans="1:4" ht="15">
      <c r="A54" s="37" t="s">
        <v>78</v>
      </c>
      <c r="B54" s="37" t="s">
        <v>79</v>
      </c>
      <c r="C54" s="39"/>
      <c r="D54" s="39"/>
    </row>
    <row r="55" spans="1:4" ht="15">
      <c r="A55" s="37" t="s">
        <v>80</v>
      </c>
      <c r="B55" s="37" t="s">
        <v>81</v>
      </c>
      <c r="C55" s="45">
        <v>94838</v>
      </c>
      <c r="D55" s="45">
        <v>94088</v>
      </c>
    </row>
    <row r="56" spans="1:4" ht="15">
      <c r="A56" s="35" t="s">
        <v>5</v>
      </c>
      <c r="B56" s="35" t="s">
        <v>82</v>
      </c>
      <c r="C56" s="36">
        <f>SUM(C57,C61,C66,C67,C68,C69,C70)</f>
        <v>1813</v>
      </c>
      <c r="D56" s="36">
        <f>SUM(D57,D61,D66,D67,D68,D69,D70)</f>
        <v>2509</v>
      </c>
    </row>
    <row r="57" spans="1:4" ht="15">
      <c r="A57" s="37" t="s">
        <v>3</v>
      </c>
      <c r="B57" s="37" t="s">
        <v>83</v>
      </c>
      <c r="C57" s="38">
        <f>SUM(C58:C60)</f>
        <v>1295</v>
      </c>
      <c r="D57" s="38">
        <f>SUM(D58:D60)</f>
        <v>1957</v>
      </c>
    </row>
    <row r="58" spans="1:4" ht="15">
      <c r="A58" s="37" t="s">
        <v>3</v>
      </c>
      <c r="B58" s="37" t="s">
        <v>84</v>
      </c>
      <c r="C58" s="39"/>
      <c r="D58" s="39"/>
    </row>
    <row r="59" spans="1:4" ht="15">
      <c r="A59" s="37" t="s">
        <v>3</v>
      </c>
      <c r="B59" s="37" t="s">
        <v>85</v>
      </c>
      <c r="C59" s="39"/>
      <c r="D59" s="39"/>
    </row>
    <row r="60" spans="1:4" ht="15">
      <c r="A60" s="37" t="s">
        <v>86</v>
      </c>
      <c r="B60" s="37" t="s">
        <v>87</v>
      </c>
      <c r="C60" s="39">
        <v>1295</v>
      </c>
      <c r="D60" s="39">
        <v>1957</v>
      </c>
    </row>
    <row r="61" spans="1:4" ht="15">
      <c r="A61" s="37" t="s">
        <v>3</v>
      </c>
      <c r="B61" s="37" t="s">
        <v>88</v>
      </c>
      <c r="C61" s="38">
        <f>SUM(C62:C65)</f>
        <v>518</v>
      </c>
      <c r="D61" s="38">
        <f>SUM(D62:D65)</f>
        <v>552</v>
      </c>
    </row>
    <row r="62" spans="1:4" ht="15">
      <c r="A62" s="37" t="s">
        <v>89</v>
      </c>
      <c r="B62" s="37" t="s">
        <v>90</v>
      </c>
      <c r="C62" s="39"/>
      <c r="D62" s="39"/>
    </row>
    <row r="63" spans="1:4" ht="15">
      <c r="A63" s="37" t="s">
        <v>91</v>
      </c>
      <c r="B63" s="37" t="s">
        <v>92</v>
      </c>
      <c r="C63" s="39"/>
      <c r="D63" s="39"/>
    </row>
    <row r="64" spans="1:4" ht="15">
      <c r="A64" s="37" t="s">
        <v>93</v>
      </c>
      <c r="B64" s="37" t="s">
        <v>94</v>
      </c>
      <c r="C64" s="39"/>
      <c r="D64" s="39"/>
    </row>
    <row r="65" spans="1:4" ht="15">
      <c r="A65" s="37" t="s">
        <v>95</v>
      </c>
      <c r="B65" s="37" t="s">
        <v>96</v>
      </c>
      <c r="C65" s="39">
        <v>518</v>
      </c>
      <c r="D65" s="39">
        <v>552</v>
      </c>
    </row>
    <row r="66" spans="1:4" ht="15">
      <c r="A66" s="37" t="s">
        <v>97</v>
      </c>
      <c r="B66" s="37" t="s">
        <v>98</v>
      </c>
      <c r="C66" s="39"/>
      <c r="D66" s="39"/>
    </row>
    <row r="67" spans="1:4" ht="15">
      <c r="A67" s="37" t="s">
        <v>99</v>
      </c>
      <c r="B67" s="37" t="s">
        <v>100</v>
      </c>
      <c r="C67" s="39"/>
      <c r="D67" s="39"/>
    </row>
    <row r="68" spans="1:4" ht="15">
      <c r="A68" s="37" t="s">
        <v>101</v>
      </c>
      <c r="B68" s="37" t="s">
        <v>102</v>
      </c>
      <c r="C68" s="39" t="s">
        <v>3</v>
      </c>
      <c r="D68" s="39" t="s">
        <v>3</v>
      </c>
    </row>
    <row r="69" spans="1:4" ht="15">
      <c r="A69" s="37" t="s">
        <v>103</v>
      </c>
      <c r="B69" s="37" t="s">
        <v>104</v>
      </c>
      <c r="C69" s="39" t="s">
        <v>3</v>
      </c>
      <c r="D69" s="39" t="s">
        <v>3</v>
      </c>
    </row>
    <row r="70" spans="1:4" ht="15">
      <c r="A70" s="37" t="s">
        <v>105</v>
      </c>
      <c r="B70" s="37" t="s">
        <v>106</v>
      </c>
      <c r="C70" s="39" t="s">
        <v>3</v>
      </c>
      <c r="D70" s="39" t="s">
        <v>3</v>
      </c>
    </row>
    <row r="71" spans="1:4" ht="15">
      <c r="A71" s="35" t="s">
        <v>5</v>
      </c>
      <c r="B71" s="35" t="s">
        <v>107</v>
      </c>
      <c r="C71" s="36">
        <f>SUM(C72+C73+C77+C82+C83+C86+C87)</f>
        <v>21717</v>
      </c>
      <c r="D71" s="36">
        <f>SUM(D72+D73+D77+D82+D83+D86+D87)</f>
        <v>25035</v>
      </c>
    </row>
    <row r="72" spans="1:4" ht="15">
      <c r="A72" s="37" t="s">
        <v>108</v>
      </c>
      <c r="B72" s="37" t="s">
        <v>109</v>
      </c>
      <c r="C72" s="39"/>
      <c r="D72" s="39"/>
    </row>
    <row r="73" spans="1:4" ht="15">
      <c r="A73" s="37" t="s">
        <v>3</v>
      </c>
      <c r="B73" s="37" t="s">
        <v>110</v>
      </c>
      <c r="C73" s="38">
        <f>SUM(C74:C76)</f>
        <v>0</v>
      </c>
      <c r="D73" s="38">
        <f>SUM(D74:D76)</f>
        <v>0</v>
      </c>
    </row>
    <row r="74" spans="1:4" ht="15">
      <c r="A74" s="37" t="s">
        <v>3</v>
      </c>
      <c r="B74" s="37" t="s">
        <v>84</v>
      </c>
      <c r="C74" s="39"/>
      <c r="D74" s="39"/>
    </row>
    <row r="75" spans="1:4" ht="15">
      <c r="A75" s="37" t="s">
        <v>3</v>
      </c>
      <c r="B75" s="37" t="s">
        <v>85</v>
      </c>
      <c r="C75" s="39"/>
      <c r="D75" s="39"/>
    </row>
    <row r="76" spans="1:4" ht="15">
      <c r="A76" s="37" t="s">
        <v>111</v>
      </c>
      <c r="B76" s="37" t="s">
        <v>87</v>
      </c>
      <c r="C76" s="39"/>
      <c r="D76" s="39"/>
    </row>
    <row r="77" spans="1:4" ht="15">
      <c r="A77" s="37" t="s">
        <v>3</v>
      </c>
      <c r="B77" s="37" t="s">
        <v>112</v>
      </c>
      <c r="C77" s="38">
        <f>SUM(C78:C81)</f>
        <v>9166</v>
      </c>
      <c r="D77" s="38">
        <f>SUM(D78:D81)</f>
        <v>630</v>
      </c>
    </row>
    <row r="78" spans="1:4" ht="15">
      <c r="A78" s="37" t="s">
        <v>113</v>
      </c>
      <c r="B78" s="37" t="s">
        <v>90</v>
      </c>
      <c r="C78" s="39"/>
      <c r="D78" s="39"/>
    </row>
    <row r="79" spans="1:4" ht="15">
      <c r="A79" s="37" t="s">
        <v>114</v>
      </c>
      <c r="B79" s="37" t="s">
        <v>92</v>
      </c>
      <c r="C79" s="39"/>
      <c r="D79" s="39"/>
    </row>
    <row r="80" spans="1:4" ht="15">
      <c r="A80" s="37" t="s">
        <v>115</v>
      </c>
      <c r="B80" s="37" t="s">
        <v>94</v>
      </c>
      <c r="C80" s="39"/>
      <c r="D80" s="39"/>
    </row>
    <row r="81" spans="1:4" ht="24">
      <c r="A81" s="37" t="s">
        <v>116</v>
      </c>
      <c r="B81" s="37" t="s">
        <v>117</v>
      </c>
      <c r="C81" s="39">
        <v>9166</v>
      </c>
      <c r="D81" s="39">
        <v>630</v>
      </c>
    </row>
    <row r="82" spans="1:4" ht="24">
      <c r="A82" s="37" t="s">
        <v>118</v>
      </c>
      <c r="B82" s="37" t="s">
        <v>119</v>
      </c>
      <c r="C82" s="39"/>
      <c r="D82" s="39"/>
    </row>
    <row r="83" spans="1:4" ht="15">
      <c r="A83" s="37" t="s">
        <v>3</v>
      </c>
      <c r="B83" s="37" t="s">
        <v>120</v>
      </c>
      <c r="C83" s="38">
        <f>SUM(C84+C85)</f>
        <v>12551</v>
      </c>
      <c r="D83" s="38">
        <f>SUM(D84+D85)</f>
        <v>24405</v>
      </c>
    </row>
    <row r="84" spans="1:4" ht="15">
      <c r="A84" s="37" t="s">
        <v>121</v>
      </c>
      <c r="B84" s="37" t="s">
        <v>122</v>
      </c>
      <c r="C84" s="39">
        <v>8320</v>
      </c>
      <c r="D84" s="39">
        <v>10005</v>
      </c>
    </row>
    <row r="85" spans="1:4" ht="15">
      <c r="A85" s="37" t="s">
        <v>123</v>
      </c>
      <c r="B85" s="37" t="s">
        <v>124</v>
      </c>
      <c r="C85" s="39">
        <v>4231</v>
      </c>
      <c r="D85" s="39">
        <v>14400</v>
      </c>
    </row>
    <row r="86" spans="1:4" ht="15">
      <c r="A86" s="37" t="s">
        <v>125</v>
      </c>
      <c r="B86" s="37" t="s">
        <v>126</v>
      </c>
      <c r="C86" s="39"/>
      <c r="D86" s="39"/>
    </row>
    <row r="87" spans="1:4" ht="15">
      <c r="A87" s="37" t="s">
        <v>127</v>
      </c>
      <c r="B87" s="37" t="s">
        <v>128</v>
      </c>
      <c r="C87" s="39"/>
      <c r="D87" s="39"/>
    </row>
    <row r="88" spans="1:4" ht="15">
      <c r="A88" s="40" t="s">
        <v>3</v>
      </c>
      <c r="B88" s="41" t="s">
        <v>129</v>
      </c>
      <c r="C88" s="36">
        <f>C43+C56+C71</f>
        <v>130677</v>
      </c>
      <c r="D88" s="36">
        <f>D43+D56+D71</f>
        <v>146537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0</v>
      </c>
      <c r="D7" s="36">
        <f>+D8+D13+D17+D20+D21+D22+D23</f>
        <v>0</v>
      </c>
    </row>
    <row r="8" spans="1:4" ht="15">
      <c r="A8" s="37"/>
      <c r="B8" s="37" t="s">
        <v>11</v>
      </c>
      <c r="C8" s="38">
        <f>+C9+C10+C11+C12</f>
        <v>0</v>
      </c>
      <c r="D8" s="38">
        <f>+D9+D10+D11+D12</f>
        <v>0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0</v>
      </c>
      <c r="D10" s="39">
        <v>0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0</v>
      </c>
      <c r="D12" s="39">
        <v>0</v>
      </c>
    </row>
    <row r="13" spans="1:4" ht="15">
      <c r="A13" s="37"/>
      <c r="B13" s="37" t="s">
        <v>19</v>
      </c>
      <c r="C13" s="38">
        <f>+C14+C15+C16</f>
        <v>0</v>
      </c>
      <c r="D13" s="38">
        <f>+D14+D15+D16</f>
        <v>0</v>
      </c>
    </row>
    <row r="14" spans="1:4" ht="15">
      <c r="A14" s="37" t="s">
        <v>20</v>
      </c>
      <c r="B14" s="37" t="s">
        <v>159</v>
      </c>
      <c r="C14" s="39">
        <v>0</v>
      </c>
      <c r="D14" s="39">
        <v>0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0</v>
      </c>
      <c r="D16" s="39">
        <v>0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0</v>
      </c>
      <c r="D21" s="39">
        <v>0</v>
      </c>
    </row>
    <row r="22" spans="1:4" ht="15">
      <c r="A22" s="37"/>
      <c r="B22" s="37" t="s">
        <v>32</v>
      </c>
      <c r="C22" s="39">
        <v>0</v>
      </c>
      <c r="D22" s="39">
        <v>0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1130</v>
      </c>
      <c r="D24" s="36">
        <f>+D25+D31+D34+D38+D39+D40+D41</f>
        <v>1126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0</v>
      </c>
      <c r="D31" s="38">
        <f>+D32+D33</f>
        <v>0</v>
      </c>
    </row>
    <row r="32" spans="1:4" ht="15">
      <c r="A32" s="37" t="s">
        <v>46</v>
      </c>
      <c r="B32" s="37" t="s">
        <v>168</v>
      </c>
      <c r="C32" s="39">
        <v>0</v>
      </c>
      <c r="D32" s="39">
        <v>0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451</v>
      </c>
      <c r="D34" s="38">
        <f>+D35+D36+D37</f>
        <v>489</v>
      </c>
    </row>
    <row r="35" spans="1:4" ht="24">
      <c r="A35" s="37" t="s">
        <v>169</v>
      </c>
      <c r="B35" s="37" t="s">
        <v>170</v>
      </c>
      <c r="C35" s="39">
        <v>0</v>
      </c>
      <c r="D35" s="39">
        <v>0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451</v>
      </c>
      <c r="D37" s="39">
        <v>489</v>
      </c>
    </row>
    <row r="38" spans="1:4" ht="24">
      <c r="A38" s="37" t="s">
        <v>54</v>
      </c>
      <c r="B38" s="37" t="s">
        <v>55</v>
      </c>
      <c r="C38" s="39">
        <v>0</v>
      </c>
      <c r="D38" s="39">
        <v>0</v>
      </c>
    </row>
    <row r="39" spans="1:4" ht="24">
      <c r="A39" s="37" t="s">
        <v>56</v>
      </c>
      <c r="B39" s="37" t="s">
        <v>57</v>
      </c>
      <c r="C39" s="39">
        <v>0</v>
      </c>
      <c r="D39" s="39">
        <v>0</v>
      </c>
    </row>
    <row r="40" spans="1:4" ht="15">
      <c r="A40" s="37" t="s">
        <v>58</v>
      </c>
      <c r="B40" s="37" t="s">
        <v>59</v>
      </c>
      <c r="C40" s="39">
        <v>0</v>
      </c>
      <c r="D40" s="39">
        <v>0</v>
      </c>
    </row>
    <row r="41" spans="1:4" ht="15">
      <c r="A41" s="37"/>
      <c r="B41" s="37" t="s">
        <v>60</v>
      </c>
      <c r="C41" s="39">
        <v>679</v>
      </c>
      <c r="D41" s="39">
        <v>637</v>
      </c>
    </row>
    <row r="42" spans="1:4" ht="15">
      <c r="A42" s="40"/>
      <c r="B42" s="41" t="s">
        <v>61</v>
      </c>
      <c r="C42" s="36">
        <f>+C7+C24</f>
        <v>1130</v>
      </c>
      <c r="D42" s="36">
        <f>+D7+D24</f>
        <v>1126</v>
      </c>
    </row>
    <row r="43" spans="1:4" ht="15">
      <c r="A43" s="35"/>
      <c r="B43" s="35" t="s">
        <v>173</v>
      </c>
      <c r="C43" s="36">
        <f>+C44+C54+C55</f>
        <v>48</v>
      </c>
      <c r="D43" s="36">
        <f>+D44+D54+D55</f>
        <v>47</v>
      </c>
    </row>
    <row r="44" spans="1:4" ht="15">
      <c r="A44" s="37"/>
      <c r="B44" s="37" t="s">
        <v>63</v>
      </c>
      <c r="C44" s="38">
        <f>+C45+C46+C47+C48+C49+C50+C51+C52+C53</f>
        <v>48</v>
      </c>
      <c r="D44" s="38">
        <f>+D45+D46+D47+D48+D49+D50+D51+D52+D53</f>
        <v>47</v>
      </c>
    </row>
    <row r="45" spans="1:4" ht="24">
      <c r="A45" s="37" t="s">
        <v>174</v>
      </c>
      <c r="B45" s="37" t="s">
        <v>175</v>
      </c>
      <c r="C45" s="39">
        <v>3000</v>
      </c>
      <c r="D45" s="39">
        <v>3000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v>-738</v>
      </c>
      <c r="D47" s="39">
        <v>-738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v>-3402</v>
      </c>
      <c r="D49" s="39">
        <v>-3404</v>
      </c>
    </row>
    <row r="50" spans="1:4" ht="15">
      <c r="A50" s="37"/>
      <c r="B50" s="37" t="s">
        <v>181</v>
      </c>
      <c r="C50" s="39">
        <v>1194</v>
      </c>
      <c r="D50" s="39">
        <v>1194</v>
      </c>
    </row>
    <row r="51" spans="1:4" ht="15">
      <c r="A51" s="37"/>
      <c r="B51" s="37" t="s">
        <v>182</v>
      </c>
      <c r="C51" s="39">
        <v>-6</v>
      </c>
      <c r="D51" s="39">
        <v>-5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0</v>
      </c>
      <c r="D55" s="39">
        <v>0</v>
      </c>
    </row>
    <row r="56" spans="1:4" ht="15">
      <c r="A56" s="35"/>
      <c r="B56" s="35" t="s">
        <v>185</v>
      </c>
      <c r="C56" s="36">
        <f>+C57+C61+C66+C67+C68+C69+C70</f>
        <v>1079</v>
      </c>
      <c r="D56" s="36">
        <f>+D57+D61+D66+D67+D68+D69+D70</f>
        <v>1079</v>
      </c>
    </row>
    <row r="57" spans="1:4" ht="15">
      <c r="A57" s="37"/>
      <c r="B57" s="37" t="s">
        <v>83</v>
      </c>
      <c r="C57" s="38">
        <f>+C58+C59+C60</f>
        <v>1079</v>
      </c>
      <c r="D57" s="38">
        <f>+D58+D59+D60</f>
        <v>1079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1079</v>
      </c>
      <c r="D60" s="39">
        <v>1079</v>
      </c>
    </row>
    <row r="61" spans="1:4" ht="15">
      <c r="A61" s="37"/>
      <c r="B61" s="37" t="s">
        <v>88</v>
      </c>
      <c r="C61" s="38">
        <f>+C62+C63+C64+C65</f>
        <v>0</v>
      </c>
      <c r="D61" s="38">
        <f>+D62+D63+D64+D65</f>
        <v>0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0</v>
      </c>
      <c r="D65" s="39">
        <v>0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3</v>
      </c>
      <c r="D71" s="36">
        <f>+D72+D73+D77+D82+D83+D86+D87</f>
        <v>0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0</v>
      </c>
      <c r="D73" s="38">
        <f>+D74+D75+D76</f>
        <v>0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0</v>
      </c>
      <c r="D76" s="39">
        <v>0</v>
      </c>
    </row>
    <row r="77" spans="1:4" ht="15">
      <c r="A77" s="37"/>
      <c r="B77" s="37" t="s">
        <v>112</v>
      </c>
      <c r="C77" s="38">
        <f>+C78+C79+C80+C81</f>
        <v>0</v>
      </c>
      <c r="D77" s="38">
        <f>+D78+D79+D80+D81</f>
        <v>0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0</v>
      </c>
      <c r="D81" s="39">
        <v>0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3</v>
      </c>
      <c r="D83" s="38">
        <f>+D84+D85</f>
        <v>0</v>
      </c>
    </row>
    <row r="84" spans="1:4" ht="15">
      <c r="A84" s="37" t="s">
        <v>121</v>
      </c>
      <c r="B84" s="37" t="s">
        <v>197</v>
      </c>
      <c r="C84" s="39">
        <v>0</v>
      </c>
      <c r="D84" s="39">
        <v>0</v>
      </c>
    </row>
    <row r="85" spans="1:4" ht="15">
      <c r="A85" s="37" t="s">
        <v>123</v>
      </c>
      <c r="B85" s="37" t="s">
        <v>198</v>
      </c>
      <c r="C85" s="39">
        <v>3</v>
      </c>
      <c r="D85" s="39">
        <v>0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1130</v>
      </c>
      <c r="D88" s="36">
        <f>+D43+D56+D71</f>
        <v>1126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894</v>
      </c>
      <c r="D7" s="36">
        <f>+D8+D13+D17+D20+D21+D22+D23</f>
        <v>894</v>
      </c>
    </row>
    <row r="8" spans="1:4" ht="15">
      <c r="A8" s="37"/>
      <c r="B8" s="37" t="s">
        <v>11</v>
      </c>
      <c r="C8" s="38">
        <f>+C9+C10+C11+C12</f>
        <v>5</v>
      </c>
      <c r="D8" s="38">
        <f>+D9+D10+D11+D12</f>
        <v>5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5</v>
      </c>
      <c r="D10" s="39">
        <v>5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0</v>
      </c>
      <c r="D12" s="39">
        <v>0</v>
      </c>
    </row>
    <row r="13" spans="1:4" ht="15">
      <c r="A13" s="37"/>
      <c r="B13" s="37" t="s">
        <v>19</v>
      </c>
      <c r="C13" s="38">
        <f>+C14+C15+C16</f>
        <v>2</v>
      </c>
      <c r="D13" s="38">
        <f>+D14+D15+D16</f>
        <v>2</v>
      </c>
    </row>
    <row r="14" spans="1:4" ht="15">
      <c r="A14" s="37" t="s">
        <v>20</v>
      </c>
      <c r="B14" s="37" t="s">
        <v>159</v>
      </c>
      <c r="C14" s="39">
        <v>0</v>
      </c>
      <c r="D14" s="39">
        <v>0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2</v>
      </c>
      <c r="D16" s="39">
        <v>2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886</v>
      </c>
      <c r="D21" s="39">
        <v>886</v>
      </c>
    </row>
    <row r="22" spans="1:4" ht="15">
      <c r="A22" s="37"/>
      <c r="B22" s="37" t="s">
        <v>32</v>
      </c>
      <c r="C22" s="39">
        <v>1</v>
      </c>
      <c r="D22" s="39">
        <v>1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4575</v>
      </c>
      <c r="D24" s="36">
        <f>+D25+D31+D34+D38+D39+D40+D41</f>
        <v>4742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1817</v>
      </c>
      <c r="D31" s="38">
        <f>+D32+D33</f>
        <v>1817</v>
      </c>
    </row>
    <row r="32" spans="1:4" ht="15">
      <c r="A32" s="37" t="s">
        <v>46</v>
      </c>
      <c r="B32" s="37" t="s">
        <v>168</v>
      </c>
      <c r="C32" s="39">
        <v>1817</v>
      </c>
      <c r="D32" s="39">
        <v>1817</v>
      </c>
    </row>
    <row r="33" spans="1:4" ht="15">
      <c r="A33" s="37"/>
      <c r="B33" s="37" t="s">
        <v>157</v>
      </c>
      <c r="C33" s="39">
        <v>0</v>
      </c>
      <c r="D33" s="39">
        <v>0</v>
      </c>
    </row>
    <row r="34" spans="1:4" ht="15">
      <c r="A34" s="37"/>
      <c r="B34" s="37" t="s">
        <v>48</v>
      </c>
      <c r="C34" s="38">
        <f>+C35+C36+C37</f>
        <v>201</v>
      </c>
      <c r="D34" s="38">
        <f>+D35+D36+D37</f>
        <v>254</v>
      </c>
    </row>
    <row r="35" spans="1:4" ht="24">
      <c r="A35" s="37" t="s">
        <v>169</v>
      </c>
      <c r="B35" s="37" t="s">
        <v>170</v>
      </c>
      <c r="C35" s="39">
        <v>6</v>
      </c>
      <c r="D35" s="39">
        <v>5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195</v>
      </c>
      <c r="D37" s="39">
        <v>249</v>
      </c>
    </row>
    <row r="38" spans="1:4" ht="24">
      <c r="A38" s="37" t="s">
        <v>54</v>
      </c>
      <c r="B38" s="37" t="s">
        <v>55</v>
      </c>
      <c r="C38" s="39">
        <v>0</v>
      </c>
      <c r="D38" s="39">
        <v>0</v>
      </c>
    </row>
    <row r="39" spans="1:4" ht="24">
      <c r="A39" s="37" t="s">
        <v>56</v>
      </c>
      <c r="B39" s="37" t="s">
        <v>57</v>
      </c>
      <c r="C39" s="39">
        <v>2550</v>
      </c>
      <c r="D39" s="39">
        <v>2652</v>
      </c>
    </row>
    <row r="40" spans="1:4" ht="15">
      <c r="A40" s="37" t="s">
        <v>58</v>
      </c>
      <c r="B40" s="37" t="s">
        <v>59</v>
      </c>
      <c r="C40" s="39">
        <v>0</v>
      </c>
      <c r="D40" s="39">
        <v>0</v>
      </c>
    </row>
    <row r="41" spans="1:4" ht="15">
      <c r="A41" s="37"/>
      <c r="B41" s="37" t="s">
        <v>60</v>
      </c>
      <c r="C41" s="39">
        <v>7</v>
      </c>
      <c r="D41" s="39">
        <v>19</v>
      </c>
    </row>
    <row r="42" spans="1:4" ht="15">
      <c r="A42" s="40"/>
      <c r="B42" s="41" t="s">
        <v>61</v>
      </c>
      <c r="C42" s="36">
        <f>+C7+C24</f>
        <v>5469</v>
      </c>
      <c r="D42" s="36">
        <f>+D7+D24</f>
        <v>5636</v>
      </c>
    </row>
    <row r="43" spans="1:4" ht="15">
      <c r="A43" s="35"/>
      <c r="B43" s="35" t="s">
        <v>173</v>
      </c>
      <c r="C43" s="36">
        <f>+C44+C54+C55</f>
        <v>1568</v>
      </c>
      <c r="D43" s="36">
        <f>+D44+D54+D55</f>
        <v>1626</v>
      </c>
    </row>
    <row r="44" spans="1:4" ht="15">
      <c r="A44" s="37"/>
      <c r="B44" s="37" t="s">
        <v>63</v>
      </c>
      <c r="C44" s="38">
        <f>+C45+C46+C47+C48+C49+C50+C51+C52+C53</f>
        <v>1439</v>
      </c>
      <c r="D44" s="38">
        <f>+D45+D46+D47+D48+D49+D50+D51+D52+D53</f>
        <v>1497</v>
      </c>
    </row>
    <row r="45" spans="1:4" ht="24">
      <c r="A45" s="37" t="s">
        <v>174</v>
      </c>
      <c r="B45" s="37" t="s">
        <v>175</v>
      </c>
      <c r="C45" s="39">
        <v>1207</v>
      </c>
      <c r="D45" s="39">
        <v>1207</v>
      </c>
    </row>
    <row r="46" spans="1:4" ht="15">
      <c r="A46" s="37"/>
      <c r="B46" s="37" t="s">
        <v>176</v>
      </c>
      <c r="C46" s="39">
        <v>2745</v>
      </c>
      <c r="D46" s="39">
        <v>2745</v>
      </c>
    </row>
    <row r="47" spans="1:4" ht="24">
      <c r="A47" s="37" t="s">
        <v>177</v>
      </c>
      <c r="B47" s="37" t="s">
        <v>178</v>
      </c>
      <c r="C47" s="39">
        <v>658</v>
      </c>
      <c r="D47" s="39">
        <v>658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v>-2785</v>
      </c>
      <c r="D49" s="39">
        <v>-2785</v>
      </c>
    </row>
    <row r="50" spans="1:4" ht="15">
      <c r="A50" s="37"/>
      <c r="B50" s="37" t="s">
        <v>181</v>
      </c>
      <c r="C50" s="39">
        <v>0</v>
      </c>
      <c r="D50" s="39">
        <v>0</v>
      </c>
    </row>
    <row r="51" spans="1:4" ht="15">
      <c r="A51" s="37"/>
      <c r="B51" s="37" t="s">
        <v>182</v>
      </c>
      <c r="C51" s="39">
        <v>-386</v>
      </c>
      <c r="D51" s="39">
        <v>-328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129</v>
      </c>
      <c r="D55" s="39">
        <v>129</v>
      </c>
    </row>
    <row r="56" spans="1:4" ht="15">
      <c r="A56" s="35"/>
      <c r="B56" s="35" t="s">
        <v>185</v>
      </c>
      <c r="C56" s="36">
        <f>+C57+C61+C66+C67+C68+C69+C70</f>
        <v>1183</v>
      </c>
      <c r="D56" s="36">
        <f>+D57+D61+D66+D67+D68+D69+D70</f>
        <v>1183</v>
      </c>
    </row>
    <row r="57" spans="1:4" ht="15">
      <c r="A57" s="37"/>
      <c r="B57" s="37" t="s">
        <v>83</v>
      </c>
      <c r="C57" s="38">
        <f>+C58+C59+C60</f>
        <v>0</v>
      </c>
      <c r="D57" s="38">
        <f>+D58+D59+D60</f>
        <v>0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0</v>
      </c>
      <c r="D60" s="39">
        <v>0</v>
      </c>
    </row>
    <row r="61" spans="1:4" ht="15">
      <c r="A61" s="37"/>
      <c r="B61" s="37" t="s">
        <v>88</v>
      </c>
      <c r="C61" s="38">
        <f>+C62+C63+C64+C65</f>
        <v>1141</v>
      </c>
      <c r="D61" s="38">
        <f>+D62+D63+D64+D65</f>
        <v>1141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1141</v>
      </c>
      <c r="D65" s="39">
        <v>1141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42</v>
      </c>
      <c r="D67" s="39">
        <v>42</v>
      </c>
    </row>
    <row r="68" spans="1:4" ht="15">
      <c r="A68" s="37" t="s">
        <v>101</v>
      </c>
      <c r="B68" s="37" t="s">
        <v>102</v>
      </c>
      <c r="C68" s="39">
        <v>0</v>
      </c>
      <c r="D68" s="39">
        <v>0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2718</v>
      </c>
      <c r="D71" s="36">
        <f>+D72+D73+D77+D82+D83+D86+D87</f>
        <v>2827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7</v>
      </c>
      <c r="D73" s="38">
        <f>+D74+D75+D76</f>
        <v>7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v>7</v>
      </c>
      <c r="D76" s="39">
        <v>7</v>
      </c>
    </row>
    <row r="77" spans="1:4" ht="15">
      <c r="A77" s="37"/>
      <c r="B77" s="37" t="s">
        <v>112</v>
      </c>
      <c r="C77" s="38">
        <f>+C78+C79+C80+C81</f>
        <v>2541</v>
      </c>
      <c r="D77" s="38">
        <f>+D78+D79+D80+D81</f>
        <v>2636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2541</v>
      </c>
      <c r="D81" s="39">
        <v>2636</v>
      </c>
    </row>
    <row r="82" spans="1:4" ht="24">
      <c r="A82" s="37" t="s">
        <v>118</v>
      </c>
      <c r="B82" s="37" t="s">
        <v>119</v>
      </c>
      <c r="C82" s="39">
        <v>0</v>
      </c>
      <c r="D82" s="39">
        <v>0</v>
      </c>
    </row>
    <row r="83" spans="1:4" ht="15">
      <c r="A83" s="37"/>
      <c r="B83" s="37" t="s">
        <v>120</v>
      </c>
      <c r="C83" s="38">
        <f>+C84+C85</f>
        <v>170</v>
      </c>
      <c r="D83" s="38">
        <f>+D84+D85</f>
        <v>184</v>
      </c>
    </row>
    <row r="84" spans="1:4" ht="15">
      <c r="A84" s="37" t="s">
        <v>121</v>
      </c>
      <c r="B84" s="37" t="s">
        <v>197</v>
      </c>
      <c r="C84" s="39">
        <v>0</v>
      </c>
      <c r="D84" s="39">
        <v>0</v>
      </c>
    </row>
    <row r="85" spans="1:4" ht="15">
      <c r="A85" s="37" t="s">
        <v>123</v>
      </c>
      <c r="B85" s="37" t="s">
        <v>198</v>
      </c>
      <c r="C85" s="39">
        <v>170</v>
      </c>
      <c r="D85" s="39">
        <v>184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5469</v>
      </c>
      <c r="D88" s="36">
        <f>+D43+D56+D71</f>
        <v>5636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9" customWidth="1"/>
    <col min="2" max="2" width="87.7109375" style="49" customWidth="1"/>
    <col min="3" max="3" width="17.28125" style="49" customWidth="1"/>
    <col min="4" max="4" width="16.57421875" style="49" customWidth="1"/>
    <col min="5" max="16384" width="9.140625" style="49" customWidth="1"/>
  </cols>
  <sheetData>
    <row r="1" spans="1:4" s="48" customFormat="1" ht="39.75" customHeight="1" thickBot="1">
      <c r="A1" s="73" t="s">
        <v>151</v>
      </c>
      <c r="B1" s="74"/>
      <c r="C1" s="74"/>
      <c r="D1" s="75"/>
    </row>
    <row r="2" spans="1:4" s="48" customFormat="1" ht="19.5" customHeight="1" thickBot="1">
      <c r="A2" s="76"/>
      <c r="B2" s="77"/>
      <c r="C2" s="77"/>
      <c r="D2" s="78"/>
    </row>
    <row r="3" spans="1:4" s="48" customFormat="1" ht="19.5" customHeight="1" thickBot="1">
      <c r="A3" s="79"/>
      <c r="B3" s="80"/>
      <c r="C3" s="80"/>
      <c r="D3" s="80"/>
    </row>
    <row r="4" spans="1:4" ht="19.5" customHeight="1" thickBot="1">
      <c r="A4" s="81" t="s">
        <v>4</v>
      </c>
      <c r="B4" s="81"/>
      <c r="C4" s="81"/>
      <c r="D4" s="81"/>
    </row>
    <row r="5" spans="1:4" ht="15.75" thickBot="1">
      <c r="A5" s="34" t="s">
        <v>3</v>
      </c>
      <c r="B5" s="34" t="s">
        <v>152</v>
      </c>
      <c r="C5" s="34" t="s">
        <v>3</v>
      </c>
      <c r="D5" s="34" t="s">
        <v>3</v>
      </c>
    </row>
    <row r="6" spans="1:4" ht="15.75" thickBot="1">
      <c r="A6" s="34" t="s">
        <v>3</v>
      </c>
      <c r="B6" s="34" t="s">
        <v>153</v>
      </c>
      <c r="C6" s="34" t="s">
        <v>8</v>
      </c>
      <c r="D6" s="34" t="s">
        <v>9</v>
      </c>
    </row>
    <row r="7" spans="1:4" ht="15">
      <c r="A7" s="35"/>
      <c r="B7" s="35" t="s">
        <v>154</v>
      </c>
      <c r="C7" s="36">
        <f>+C8+C13+C17+C20+C21+C22+C23</f>
        <v>879</v>
      </c>
      <c r="D7" s="36">
        <f>+D8+D13+D17+D20+D21+D22+D23</f>
        <v>935</v>
      </c>
    </row>
    <row r="8" spans="1:4" ht="15">
      <c r="A8" s="37"/>
      <c r="B8" s="37" t="s">
        <v>11</v>
      </c>
      <c r="C8" s="38">
        <f>+C9+C10+C11+C12</f>
        <v>57</v>
      </c>
      <c r="D8" s="38">
        <f>+D9+D10+D11+D12</f>
        <v>87</v>
      </c>
    </row>
    <row r="9" spans="1:4" ht="15">
      <c r="A9" s="37" t="s">
        <v>12</v>
      </c>
      <c r="B9" s="37" t="s">
        <v>155</v>
      </c>
      <c r="C9" s="39">
        <v>0</v>
      </c>
      <c r="D9" s="39">
        <v>0</v>
      </c>
    </row>
    <row r="10" spans="1:4" ht="15">
      <c r="A10" s="37" t="s">
        <v>14</v>
      </c>
      <c r="B10" s="37" t="s">
        <v>156</v>
      </c>
      <c r="C10" s="39">
        <v>52</v>
      </c>
      <c r="D10" s="39">
        <v>81</v>
      </c>
    </row>
    <row r="11" spans="1:4" ht="15">
      <c r="A11" s="37"/>
      <c r="B11" s="37" t="s">
        <v>157</v>
      </c>
      <c r="C11" s="39">
        <v>0</v>
      </c>
      <c r="D11" s="39">
        <v>0</v>
      </c>
    </row>
    <row r="12" spans="1:4" ht="15">
      <c r="A12" s="37" t="s">
        <v>17</v>
      </c>
      <c r="B12" s="37" t="s">
        <v>158</v>
      </c>
      <c r="C12" s="39">
        <v>5</v>
      </c>
      <c r="D12" s="39">
        <v>6</v>
      </c>
    </row>
    <row r="13" spans="1:4" ht="15">
      <c r="A13" s="37"/>
      <c r="B13" s="37" t="s">
        <v>19</v>
      </c>
      <c r="C13" s="38">
        <f>+C14+C15+C16</f>
        <v>661</v>
      </c>
      <c r="D13" s="38">
        <f>+D14+D15+D16</f>
        <v>688</v>
      </c>
    </row>
    <row r="14" spans="1:4" ht="15">
      <c r="A14" s="37" t="s">
        <v>20</v>
      </c>
      <c r="B14" s="37" t="s">
        <v>159</v>
      </c>
      <c r="C14" s="39">
        <v>2</v>
      </c>
      <c r="D14" s="39">
        <v>2</v>
      </c>
    </row>
    <row r="15" spans="1:4" ht="15">
      <c r="A15" s="37"/>
      <c r="B15" s="37" t="s">
        <v>157</v>
      </c>
      <c r="C15" s="39">
        <v>0</v>
      </c>
      <c r="D15" s="39">
        <v>0</v>
      </c>
    </row>
    <row r="16" spans="1:4" ht="24">
      <c r="A16" s="37" t="s">
        <v>22</v>
      </c>
      <c r="B16" s="37" t="s">
        <v>160</v>
      </c>
      <c r="C16" s="39">
        <v>659</v>
      </c>
      <c r="D16" s="39">
        <v>686</v>
      </c>
    </row>
    <row r="17" spans="1:4" ht="15">
      <c r="A17" s="37"/>
      <c r="B17" s="37" t="s">
        <v>24</v>
      </c>
      <c r="C17" s="38">
        <f>+C18+C19</f>
        <v>0</v>
      </c>
      <c r="D17" s="38">
        <f>+D18+D19</f>
        <v>0</v>
      </c>
    </row>
    <row r="18" spans="1:4" ht="15">
      <c r="A18" s="37" t="s">
        <v>25</v>
      </c>
      <c r="B18" s="37" t="s">
        <v>159</v>
      </c>
      <c r="C18" s="39">
        <v>0</v>
      </c>
      <c r="D18" s="39">
        <v>0</v>
      </c>
    </row>
    <row r="19" spans="1:4" ht="15">
      <c r="A19" s="37" t="s">
        <v>26</v>
      </c>
      <c r="B19" s="37" t="s">
        <v>161</v>
      </c>
      <c r="C19" s="39">
        <v>0</v>
      </c>
      <c r="D19" s="39">
        <v>0</v>
      </c>
    </row>
    <row r="20" spans="1:4" ht="24">
      <c r="A20" s="37" t="s">
        <v>28</v>
      </c>
      <c r="B20" s="37" t="s">
        <v>29</v>
      </c>
      <c r="C20" s="39">
        <v>0</v>
      </c>
      <c r="D20" s="39">
        <v>0</v>
      </c>
    </row>
    <row r="21" spans="1:4" ht="24">
      <c r="A21" s="37" t="s">
        <v>30</v>
      </c>
      <c r="B21" s="37" t="s">
        <v>31</v>
      </c>
      <c r="C21" s="39">
        <v>161</v>
      </c>
      <c r="D21" s="39">
        <v>160</v>
      </c>
    </row>
    <row r="22" spans="1:4" ht="15">
      <c r="A22" s="37"/>
      <c r="B22" s="37" t="s">
        <v>32</v>
      </c>
      <c r="C22" s="39">
        <v>0</v>
      </c>
      <c r="D22" s="39">
        <v>0</v>
      </c>
    </row>
    <row r="23" spans="1:4" ht="15">
      <c r="A23" s="37" t="s">
        <v>162</v>
      </c>
      <c r="B23" s="37" t="s">
        <v>34</v>
      </c>
      <c r="C23" s="39">
        <v>0</v>
      </c>
      <c r="D23" s="39">
        <v>0</v>
      </c>
    </row>
    <row r="24" spans="1:4" ht="15">
      <c r="A24" s="35"/>
      <c r="B24" s="35" t="s">
        <v>163</v>
      </c>
      <c r="C24" s="36">
        <f>+C25+C31+C34+C38+C39+C40+C41</f>
        <v>187452</v>
      </c>
      <c r="D24" s="36">
        <f>+D25+D31+D34+D38+D39+D40+D41</f>
        <v>190806</v>
      </c>
    </row>
    <row r="25" spans="1:4" ht="15">
      <c r="A25" s="37"/>
      <c r="B25" s="37" t="s">
        <v>36</v>
      </c>
      <c r="C25" s="38">
        <f>+C26+C27+C28+C29+C30</f>
        <v>0</v>
      </c>
      <c r="D25" s="38">
        <f>+D26+D27+D28+D29+D30</f>
        <v>0</v>
      </c>
    </row>
    <row r="26" spans="1:4" ht="15">
      <c r="A26" s="37"/>
      <c r="B26" s="37" t="s">
        <v>164</v>
      </c>
      <c r="C26" s="39">
        <v>0</v>
      </c>
      <c r="D26" s="39">
        <v>0</v>
      </c>
    </row>
    <row r="27" spans="1:4" ht="15">
      <c r="A27" s="37" t="s">
        <v>38</v>
      </c>
      <c r="B27" s="37" t="s">
        <v>159</v>
      </c>
      <c r="C27" s="39">
        <v>0</v>
      </c>
      <c r="D27" s="39">
        <v>0</v>
      </c>
    </row>
    <row r="28" spans="1:4" ht="15">
      <c r="A28" s="37" t="s">
        <v>38</v>
      </c>
      <c r="B28" s="37" t="s">
        <v>165</v>
      </c>
      <c r="C28" s="39">
        <v>0</v>
      </c>
      <c r="D28" s="39">
        <v>0</v>
      </c>
    </row>
    <row r="29" spans="1:4" ht="15">
      <c r="A29" s="37" t="s">
        <v>41</v>
      </c>
      <c r="B29" s="37" t="s">
        <v>166</v>
      </c>
      <c r="C29" s="39">
        <v>0</v>
      </c>
      <c r="D29" s="39">
        <v>0</v>
      </c>
    </row>
    <row r="30" spans="1:4" ht="15">
      <c r="A30" s="37" t="s">
        <v>43</v>
      </c>
      <c r="B30" s="37" t="s">
        <v>167</v>
      </c>
      <c r="C30" s="39">
        <v>0</v>
      </c>
      <c r="D30" s="39">
        <v>0</v>
      </c>
    </row>
    <row r="31" spans="1:4" ht="15">
      <c r="A31" s="37"/>
      <c r="B31" s="37" t="s">
        <v>45</v>
      </c>
      <c r="C31" s="38">
        <f>+C32+C33</f>
        <v>145228</v>
      </c>
      <c r="D31" s="38">
        <f>+D32+D33</f>
        <v>146858</v>
      </c>
    </row>
    <row r="32" spans="1:4" ht="15">
      <c r="A32" s="37" t="s">
        <v>46</v>
      </c>
      <c r="B32" s="37" t="s">
        <v>168</v>
      </c>
      <c r="C32" s="39">
        <v>145181</v>
      </c>
      <c r="D32" s="39">
        <v>146815</v>
      </c>
    </row>
    <row r="33" spans="1:4" ht="15">
      <c r="A33" s="37"/>
      <c r="B33" s="37" t="s">
        <v>157</v>
      </c>
      <c r="C33" s="39">
        <v>47</v>
      </c>
      <c r="D33" s="39">
        <v>43</v>
      </c>
    </row>
    <row r="34" spans="1:4" ht="15">
      <c r="A34" s="37"/>
      <c r="B34" s="37" t="s">
        <v>48</v>
      </c>
      <c r="C34" s="38">
        <f>+C35+C36+C37</f>
        <v>20518</v>
      </c>
      <c r="D34" s="38">
        <f>+D35+D36+D37</f>
        <v>19982</v>
      </c>
    </row>
    <row r="35" spans="1:4" ht="24">
      <c r="A35" s="37" t="s">
        <v>169</v>
      </c>
      <c r="B35" s="37" t="s">
        <v>170</v>
      </c>
      <c r="C35" s="39">
        <v>552</v>
      </c>
      <c r="D35" s="39">
        <v>3278</v>
      </c>
    </row>
    <row r="36" spans="1:4" ht="15">
      <c r="A36" s="37"/>
      <c r="B36" s="37" t="s">
        <v>171</v>
      </c>
      <c r="C36" s="39">
        <v>0</v>
      </c>
      <c r="D36" s="39">
        <v>0</v>
      </c>
    </row>
    <row r="37" spans="1:4" ht="15">
      <c r="A37" s="37" t="s">
        <v>52</v>
      </c>
      <c r="B37" s="37" t="s">
        <v>172</v>
      </c>
      <c r="C37" s="39">
        <v>19966</v>
      </c>
      <c r="D37" s="39">
        <v>16704</v>
      </c>
    </row>
    <row r="38" spans="1:4" ht="24">
      <c r="A38" s="37" t="s">
        <v>54</v>
      </c>
      <c r="B38" s="37" t="s">
        <v>55</v>
      </c>
      <c r="C38" s="39">
        <v>215</v>
      </c>
      <c r="D38" s="39">
        <v>142</v>
      </c>
    </row>
    <row r="39" spans="1:4" ht="24">
      <c r="A39" s="37" t="s">
        <v>56</v>
      </c>
      <c r="B39" s="37" t="s">
        <v>57</v>
      </c>
      <c r="C39" s="39">
        <v>1256</v>
      </c>
      <c r="D39" s="39">
        <v>98</v>
      </c>
    </row>
    <row r="40" spans="1:4" ht="15">
      <c r="A40" s="37" t="s">
        <v>58</v>
      </c>
      <c r="B40" s="37" t="s">
        <v>59</v>
      </c>
      <c r="C40" s="39">
        <v>0</v>
      </c>
      <c r="D40" s="39">
        <v>38</v>
      </c>
    </row>
    <row r="41" spans="1:4" ht="15">
      <c r="A41" s="37"/>
      <c r="B41" s="37" t="s">
        <v>60</v>
      </c>
      <c r="C41" s="39">
        <v>20235</v>
      </c>
      <c r="D41" s="39">
        <v>23688</v>
      </c>
    </row>
    <row r="42" spans="1:4" ht="15">
      <c r="A42" s="40"/>
      <c r="B42" s="41" t="s">
        <v>61</v>
      </c>
      <c r="C42" s="36">
        <f>+C7+C24</f>
        <v>188331</v>
      </c>
      <c r="D42" s="36">
        <f>+D7+D24</f>
        <v>191741</v>
      </c>
    </row>
    <row r="43" spans="1:4" ht="15">
      <c r="A43" s="35"/>
      <c r="B43" s="35" t="s">
        <v>173</v>
      </c>
      <c r="C43" s="36">
        <f>+C44+C54+C55</f>
        <v>75282</v>
      </c>
      <c r="D43" s="36">
        <f>+D44+D54+D55</f>
        <v>76947</v>
      </c>
    </row>
    <row r="44" spans="1:4" ht="15">
      <c r="A44" s="37"/>
      <c r="B44" s="37" t="s">
        <v>63</v>
      </c>
      <c r="C44" s="38">
        <f>+C45+C46+C47+C48+C49+C50+C51+C52+C53</f>
        <v>75282</v>
      </c>
      <c r="D44" s="38">
        <f>+D45+D46+D47+D48+D49+D50+D51+D52+D53</f>
        <v>76947</v>
      </c>
    </row>
    <row r="45" spans="1:4" ht="24">
      <c r="A45" s="37" t="s">
        <v>174</v>
      </c>
      <c r="B45" s="37" t="s">
        <v>175</v>
      </c>
      <c r="C45" s="39">
        <v>70510</v>
      </c>
      <c r="D45" s="39">
        <v>70510</v>
      </c>
    </row>
    <row r="46" spans="1:4" ht="15">
      <c r="A46" s="37"/>
      <c r="B46" s="37" t="s">
        <v>176</v>
      </c>
      <c r="C46" s="39">
        <v>0</v>
      </c>
      <c r="D46" s="39">
        <v>0</v>
      </c>
    </row>
    <row r="47" spans="1:4" ht="24">
      <c r="A47" s="37" t="s">
        <v>177</v>
      </c>
      <c r="B47" s="37" t="s">
        <v>178</v>
      </c>
      <c r="C47" s="39">
        <v>186280</v>
      </c>
      <c r="D47" s="39">
        <v>186280</v>
      </c>
    </row>
    <row r="48" spans="1:4" ht="15">
      <c r="A48" s="37" t="s">
        <v>69</v>
      </c>
      <c r="B48" s="37" t="s">
        <v>179</v>
      </c>
      <c r="C48" s="39">
        <v>0</v>
      </c>
      <c r="D48" s="39">
        <v>0</v>
      </c>
    </row>
    <row r="49" spans="1:4" ht="15">
      <c r="A49" s="37" t="s">
        <v>71</v>
      </c>
      <c r="B49" s="37" t="s">
        <v>180</v>
      </c>
      <c r="C49" s="39">
        <f>-128919-50924</f>
        <v>-179843</v>
      </c>
      <c r="D49" s="39">
        <v>-128919</v>
      </c>
    </row>
    <row r="50" spans="1:4" ht="15">
      <c r="A50" s="37"/>
      <c r="B50" s="37" t="s">
        <v>181</v>
      </c>
      <c r="C50" s="39">
        <v>0</v>
      </c>
      <c r="D50" s="39">
        <v>0</v>
      </c>
    </row>
    <row r="51" spans="1:4" ht="15">
      <c r="A51" s="37"/>
      <c r="B51" s="37" t="s">
        <v>182</v>
      </c>
      <c r="C51" s="39">
        <v>-1665</v>
      </c>
      <c r="D51" s="39">
        <v>-50924</v>
      </c>
    </row>
    <row r="52" spans="1:4" ht="15">
      <c r="A52" s="37" t="s">
        <v>75</v>
      </c>
      <c r="B52" s="37" t="s">
        <v>183</v>
      </c>
      <c r="C52" s="39">
        <v>0</v>
      </c>
      <c r="D52" s="39">
        <v>0</v>
      </c>
    </row>
    <row r="53" spans="1:4" ht="15">
      <c r="A53" s="37"/>
      <c r="B53" s="37" t="s">
        <v>184</v>
      </c>
      <c r="C53" s="39">
        <v>0</v>
      </c>
      <c r="D53" s="39">
        <v>0</v>
      </c>
    </row>
    <row r="54" spans="1:4" ht="15">
      <c r="A54" s="37" t="s">
        <v>78</v>
      </c>
      <c r="B54" s="37" t="s">
        <v>79</v>
      </c>
      <c r="C54" s="39">
        <v>0</v>
      </c>
      <c r="D54" s="39">
        <v>0</v>
      </c>
    </row>
    <row r="55" spans="1:4" ht="15">
      <c r="A55" s="37" t="s">
        <v>80</v>
      </c>
      <c r="B55" s="37" t="s">
        <v>81</v>
      </c>
      <c r="C55" s="39">
        <v>0</v>
      </c>
      <c r="D55" s="39">
        <v>0</v>
      </c>
    </row>
    <row r="56" spans="1:4" ht="15">
      <c r="A56" s="35"/>
      <c r="B56" s="35" t="s">
        <v>185</v>
      </c>
      <c r="C56" s="36">
        <f>+C57+C61+C66+C67+C68+C69+C70</f>
        <v>3093</v>
      </c>
      <c r="D56" s="36">
        <f>+D57+D61+D66+D67+D68+D69+D70</f>
        <v>3092</v>
      </c>
    </row>
    <row r="57" spans="1:4" ht="15">
      <c r="A57" s="37"/>
      <c r="B57" s="37" t="s">
        <v>83</v>
      </c>
      <c r="C57" s="38">
        <f>+C58+C59+C60</f>
        <v>3084</v>
      </c>
      <c r="D57" s="38">
        <f>+D58+D59+D60</f>
        <v>3084</v>
      </c>
    </row>
    <row r="58" spans="1:4" ht="15">
      <c r="A58" s="37"/>
      <c r="B58" s="37" t="s">
        <v>186</v>
      </c>
      <c r="C58" s="39">
        <v>0</v>
      </c>
      <c r="D58" s="39">
        <v>0</v>
      </c>
    </row>
    <row r="59" spans="1:4" ht="15">
      <c r="A59" s="37"/>
      <c r="B59" s="37" t="s">
        <v>187</v>
      </c>
      <c r="C59" s="39">
        <v>0</v>
      </c>
      <c r="D59" s="39">
        <v>0</v>
      </c>
    </row>
    <row r="60" spans="1:4" ht="15">
      <c r="A60" s="37" t="s">
        <v>86</v>
      </c>
      <c r="B60" s="37" t="s">
        <v>188</v>
      </c>
      <c r="C60" s="39">
        <v>3084</v>
      </c>
      <c r="D60" s="39">
        <v>3084</v>
      </c>
    </row>
    <row r="61" spans="1:4" ht="15">
      <c r="A61" s="37"/>
      <c r="B61" s="37" t="s">
        <v>88</v>
      </c>
      <c r="C61" s="38">
        <f>+C62+C63+C64+C65</f>
        <v>3</v>
      </c>
      <c r="D61" s="38">
        <f>+D62+D63+D64+D65</f>
        <v>2</v>
      </c>
    </row>
    <row r="62" spans="1:4" ht="15">
      <c r="A62" s="37" t="s">
        <v>89</v>
      </c>
      <c r="B62" s="37" t="s">
        <v>189</v>
      </c>
      <c r="C62" s="39">
        <v>0</v>
      </c>
      <c r="D62" s="39">
        <v>0</v>
      </c>
    </row>
    <row r="63" spans="1:4" ht="15">
      <c r="A63" s="37" t="s">
        <v>91</v>
      </c>
      <c r="B63" s="37" t="s">
        <v>190</v>
      </c>
      <c r="C63" s="39">
        <v>0</v>
      </c>
      <c r="D63" s="39">
        <v>0</v>
      </c>
    </row>
    <row r="64" spans="1:4" ht="15">
      <c r="A64" s="37" t="s">
        <v>93</v>
      </c>
      <c r="B64" s="37" t="s">
        <v>191</v>
      </c>
      <c r="C64" s="39">
        <v>0</v>
      </c>
      <c r="D64" s="39">
        <v>0</v>
      </c>
    </row>
    <row r="65" spans="1:4" ht="15">
      <c r="A65" s="37" t="s">
        <v>95</v>
      </c>
      <c r="B65" s="37" t="s">
        <v>192</v>
      </c>
      <c r="C65" s="39">
        <v>3</v>
      </c>
      <c r="D65" s="39">
        <v>2</v>
      </c>
    </row>
    <row r="66" spans="1:4" ht="15">
      <c r="A66" s="37" t="s">
        <v>97</v>
      </c>
      <c r="B66" s="37" t="s">
        <v>98</v>
      </c>
      <c r="C66" s="39">
        <v>0</v>
      </c>
      <c r="D66" s="39">
        <v>0</v>
      </c>
    </row>
    <row r="67" spans="1:4" ht="15">
      <c r="A67" s="37" t="s">
        <v>99</v>
      </c>
      <c r="B67" s="37" t="s">
        <v>100</v>
      </c>
      <c r="C67" s="39">
        <v>0</v>
      </c>
      <c r="D67" s="39">
        <v>0</v>
      </c>
    </row>
    <row r="68" spans="1:4" ht="15">
      <c r="A68" s="37" t="s">
        <v>101</v>
      </c>
      <c r="B68" s="37" t="s">
        <v>102</v>
      </c>
      <c r="C68" s="39">
        <v>6</v>
      </c>
      <c r="D68" s="39">
        <v>6</v>
      </c>
    </row>
    <row r="69" spans="1:4" ht="15">
      <c r="A69" s="37" t="s">
        <v>193</v>
      </c>
      <c r="B69" s="37" t="s">
        <v>104</v>
      </c>
      <c r="C69" s="39">
        <v>0</v>
      </c>
      <c r="D69" s="39">
        <v>0</v>
      </c>
    </row>
    <row r="70" spans="1:4" ht="15">
      <c r="A70" s="37" t="s">
        <v>194</v>
      </c>
      <c r="B70" s="37" t="s">
        <v>106</v>
      </c>
      <c r="C70" s="39">
        <v>0</v>
      </c>
      <c r="D70" s="39">
        <v>0</v>
      </c>
    </row>
    <row r="71" spans="1:4" ht="15">
      <c r="A71" s="35"/>
      <c r="B71" s="35" t="s">
        <v>195</v>
      </c>
      <c r="C71" s="36">
        <f>+C72+C73+C77+C82+C83+C86+C87</f>
        <v>109956</v>
      </c>
      <c r="D71" s="36">
        <f>+D72+D73+D77+D82+D83+D86+D87</f>
        <v>111702</v>
      </c>
    </row>
    <row r="72" spans="1:4" ht="15">
      <c r="A72" s="37" t="s">
        <v>108</v>
      </c>
      <c r="B72" s="37" t="s">
        <v>109</v>
      </c>
      <c r="C72" s="39">
        <v>0</v>
      </c>
      <c r="D72" s="39">
        <v>0</v>
      </c>
    </row>
    <row r="73" spans="1:4" ht="15">
      <c r="A73" s="37"/>
      <c r="B73" s="37" t="s">
        <v>110</v>
      </c>
      <c r="C73" s="38">
        <f>+C74+C75+C76</f>
        <v>23457</v>
      </c>
      <c r="D73" s="38">
        <f>+D74+D75+D76</f>
        <v>23457</v>
      </c>
    </row>
    <row r="74" spans="1:4" ht="15">
      <c r="A74" s="37"/>
      <c r="B74" s="37" t="s">
        <v>186</v>
      </c>
      <c r="C74" s="39">
        <v>0</v>
      </c>
      <c r="D74" s="39">
        <v>0</v>
      </c>
    </row>
    <row r="75" spans="1:4" ht="15">
      <c r="A75" s="37"/>
      <c r="B75" s="37" t="s">
        <v>187</v>
      </c>
      <c r="C75" s="39">
        <v>0</v>
      </c>
      <c r="D75" s="39">
        <v>0</v>
      </c>
    </row>
    <row r="76" spans="1:4" ht="15">
      <c r="A76" s="37" t="s">
        <v>111</v>
      </c>
      <c r="B76" s="37" t="s">
        <v>188</v>
      </c>
      <c r="C76" s="39">
        <f>15199+8258</f>
        <v>23457</v>
      </c>
      <c r="D76" s="39">
        <v>23457</v>
      </c>
    </row>
    <row r="77" spans="1:4" ht="15">
      <c r="A77" s="37"/>
      <c r="B77" s="37" t="s">
        <v>112</v>
      </c>
      <c r="C77" s="38">
        <f>+C78+C79+C80+C81</f>
        <v>31</v>
      </c>
      <c r="D77" s="38">
        <f>+D78+D79+D80+D81</f>
        <v>226</v>
      </c>
    </row>
    <row r="78" spans="1:4" ht="15">
      <c r="A78" s="37" t="s">
        <v>113</v>
      </c>
      <c r="B78" s="37" t="s">
        <v>189</v>
      </c>
      <c r="C78" s="39">
        <v>0</v>
      </c>
      <c r="D78" s="39">
        <v>0</v>
      </c>
    </row>
    <row r="79" spans="1:4" ht="15">
      <c r="A79" s="37" t="s">
        <v>114</v>
      </c>
      <c r="B79" s="37" t="s">
        <v>190</v>
      </c>
      <c r="C79" s="39">
        <v>0</v>
      </c>
      <c r="D79" s="39">
        <v>0</v>
      </c>
    </row>
    <row r="80" spans="1:4" ht="15">
      <c r="A80" s="37" t="s">
        <v>115</v>
      </c>
      <c r="B80" s="37" t="s">
        <v>191</v>
      </c>
      <c r="C80" s="39">
        <v>0</v>
      </c>
      <c r="D80" s="39">
        <v>0</v>
      </c>
    </row>
    <row r="81" spans="1:4" ht="24">
      <c r="A81" s="37" t="s">
        <v>116</v>
      </c>
      <c r="B81" s="37" t="s">
        <v>196</v>
      </c>
      <c r="C81" s="39">
        <v>31</v>
      </c>
      <c r="D81" s="39">
        <v>226</v>
      </c>
    </row>
    <row r="82" spans="1:4" ht="24">
      <c r="A82" s="37" t="s">
        <v>118</v>
      </c>
      <c r="B82" s="37" t="s">
        <v>119</v>
      </c>
      <c r="C82" s="39">
        <f>15000+49457</f>
        <v>64457</v>
      </c>
      <c r="D82" s="39">
        <v>62457</v>
      </c>
    </row>
    <row r="83" spans="1:4" ht="15">
      <c r="A83" s="37"/>
      <c r="B83" s="37" t="s">
        <v>120</v>
      </c>
      <c r="C83" s="38">
        <f>+C84+C85</f>
        <v>22011</v>
      </c>
      <c r="D83" s="38">
        <f>+D84+D85</f>
        <v>25562</v>
      </c>
    </row>
    <row r="84" spans="1:4" ht="15">
      <c r="A84" s="37" t="s">
        <v>121</v>
      </c>
      <c r="B84" s="37" t="s">
        <v>197</v>
      </c>
      <c r="C84" s="39">
        <v>1844</v>
      </c>
      <c r="D84" s="39">
        <v>2453</v>
      </c>
    </row>
    <row r="85" spans="1:4" ht="15">
      <c r="A85" s="37" t="s">
        <v>123</v>
      </c>
      <c r="B85" s="37" t="s">
        <v>198</v>
      </c>
      <c r="C85" s="39">
        <v>20167</v>
      </c>
      <c r="D85" s="39">
        <v>23109</v>
      </c>
    </row>
    <row r="86" spans="1:4" ht="15">
      <c r="A86" s="37" t="s">
        <v>125</v>
      </c>
      <c r="B86" s="37" t="s">
        <v>126</v>
      </c>
      <c r="C86" s="39">
        <v>0</v>
      </c>
      <c r="D86" s="39">
        <v>0</v>
      </c>
    </row>
    <row r="87" spans="1:4" ht="15">
      <c r="A87" s="37" t="s">
        <v>199</v>
      </c>
      <c r="B87" s="37" t="s">
        <v>128</v>
      </c>
      <c r="C87" s="39">
        <v>0</v>
      </c>
      <c r="D87" s="39">
        <v>0</v>
      </c>
    </row>
    <row r="88" spans="1:4" ht="15">
      <c r="A88" s="40"/>
      <c r="B88" s="41" t="s">
        <v>129</v>
      </c>
      <c r="C88" s="36">
        <f>+C43+C56+C71</f>
        <v>188331</v>
      </c>
      <c r="D88" s="36">
        <f>+D43+D56+D71</f>
        <v>191741</v>
      </c>
    </row>
    <row r="89" spans="1:4" ht="15">
      <c r="A89" s="50"/>
      <c r="B89" s="50"/>
      <c r="C89" s="51"/>
      <c r="D89" s="51"/>
    </row>
    <row r="90" ht="15">
      <c r="A90" s="5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5" width="15.28125" style="0" bestFit="1" customWidth="1"/>
  </cols>
  <sheetData>
    <row r="1" spans="1:4" ht="39.75" customHeight="1" thickBot="1">
      <c r="A1" s="82" t="s">
        <v>2</v>
      </c>
      <c r="B1" s="83"/>
      <c r="C1" s="83"/>
      <c r="D1" s="84"/>
    </row>
    <row r="2" spans="1:4" ht="19.5" customHeight="1" thickBot="1">
      <c r="A2" s="85" t="s">
        <v>3</v>
      </c>
      <c r="B2" s="86"/>
      <c r="C2" s="86"/>
      <c r="D2" s="87"/>
    </row>
    <row r="3" spans="1:4" ht="19.5" customHeight="1" thickBot="1">
      <c r="A3" s="85" t="s">
        <v>3</v>
      </c>
      <c r="B3" s="86"/>
      <c r="C3" s="86"/>
      <c r="D3" s="87"/>
    </row>
    <row r="4" spans="1:4" ht="19.5" customHeight="1" thickBot="1">
      <c r="A4" s="88" t="s">
        <v>4</v>
      </c>
      <c r="B4" s="88"/>
      <c r="C4" s="88"/>
      <c r="D4" s="88"/>
    </row>
    <row r="5" spans="1:4" ht="15.75" thickBot="1">
      <c r="A5" s="12" t="s">
        <v>5</v>
      </c>
      <c r="B5" s="12" t="s">
        <v>6</v>
      </c>
      <c r="C5" s="12"/>
      <c r="D5" s="12"/>
    </row>
    <row r="6" spans="1:4" ht="15.75" thickBot="1">
      <c r="A6" s="12" t="s">
        <v>5</v>
      </c>
      <c r="B6" s="12" t="s">
        <v>7</v>
      </c>
      <c r="C6" s="12" t="s">
        <v>8</v>
      </c>
      <c r="D6" s="12" t="s">
        <v>9</v>
      </c>
    </row>
    <row r="7" spans="1:4" ht="15.75" thickBot="1">
      <c r="A7" s="13" t="s">
        <v>5</v>
      </c>
      <c r="B7" s="13" t="s">
        <v>10</v>
      </c>
      <c r="C7" s="14">
        <v>17603</v>
      </c>
      <c r="D7" s="14">
        <v>19081</v>
      </c>
    </row>
    <row r="8" spans="1:4" ht="15.75" thickBot="1">
      <c r="A8" s="15"/>
      <c r="B8" s="15" t="s">
        <v>11</v>
      </c>
      <c r="C8" s="16">
        <v>600</v>
      </c>
      <c r="D8" s="16">
        <v>765</v>
      </c>
    </row>
    <row r="9" spans="1:4" ht="15.75" thickBot="1">
      <c r="A9" s="15" t="s">
        <v>12</v>
      </c>
      <c r="B9" s="15" t="s">
        <v>13</v>
      </c>
      <c r="C9" s="16">
        <v>0</v>
      </c>
      <c r="D9" s="16">
        <v>0</v>
      </c>
    </row>
    <row r="10" spans="1:4" ht="15.75" thickBot="1">
      <c r="A10" s="15" t="s">
        <v>14</v>
      </c>
      <c r="B10" s="15" t="s">
        <v>15</v>
      </c>
      <c r="C10" s="16">
        <v>178</v>
      </c>
      <c r="D10" s="16">
        <v>319</v>
      </c>
    </row>
    <row r="11" spans="1:4" ht="15.75" thickBot="1">
      <c r="A11" s="15"/>
      <c r="B11" s="15" t="s">
        <v>16</v>
      </c>
      <c r="C11" s="16">
        <v>0</v>
      </c>
      <c r="D11" s="16">
        <v>0</v>
      </c>
    </row>
    <row r="12" spans="1:4" ht="34.5" thickBot="1">
      <c r="A12" s="15" t="s">
        <v>17</v>
      </c>
      <c r="B12" s="15" t="s">
        <v>18</v>
      </c>
      <c r="C12" s="16">
        <v>422</v>
      </c>
      <c r="D12" s="16">
        <v>446</v>
      </c>
    </row>
    <row r="13" spans="1:4" ht="15.75" thickBot="1">
      <c r="A13" s="15"/>
      <c r="B13" s="15" t="s">
        <v>19</v>
      </c>
      <c r="C13" s="16">
        <v>16862</v>
      </c>
      <c r="D13" s="16">
        <v>18167</v>
      </c>
    </row>
    <row r="14" spans="1:4" ht="15.75" thickBot="1">
      <c r="A14" s="15" t="s">
        <v>20</v>
      </c>
      <c r="B14" s="15" t="s">
        <v>21</v>
      </c>
      <c r="C14" s="16">
        <v>4892</v>
      </c>
      <c r="D14" s="16">
        <v>4892</v>
      </c>
    </row>
    <row r="15" spans="1:4" ht="15.75" thickBot="1">
      <c r="A15" s="15"/>
      <c r="B15" s="15" t="s">
        <v>16</v>
      </c>
      <c r="C15" s="16">
        <v>0</v>
      </c>
      <c r="D15" s="16">
        <v>0</v>
      </c>
    </row>
    <row r="16" spans="1:4" ht="68.25" thickBot="1">
      <c r="A16" s="15" t="s">
        <v>22</v>
      </c>
      <c r="B16" s="15" t="s">
        <v>23</v>
      </c>
      <c r="C16" s="16">
        <v>11970</v>
      </c>
      <c r="D16" s="16">
        <v>13275</v>
      </c>
    </row>
    <row r="17" spans="1:4" ht="15.75" thickBot="1">
      <c r="A17" s="15"/>
      <c r="B17" s="15" t="s">
        <v>24</v>
      </c>
      <c r="C17" s="16">
        <v>0</v>
      </c>
      <c r="D17" s="16">
        <v>0</v>
      </c>
    </row>
    <row r="18" spans="1:4" ht="15.75" thickBot="1">
      <c r="A18" s="15" t="s">
        <v>25</v>
      </c>
      <c r="B18" s="15" t="s">
        <v>21</v>
      </c>
      <c r="C18" s="16">
        <v>0</v>
      </c>
      <c r="D18" s="16">
        <v>0</v>
      </c>
    </row>
    <row r="19" spans="1:4" ht="15.75" thickBot="1">
      <c r="A19" s="15" t="s">
        <v>26</v>
      </c>
      <c r="B19" s="15" t="s">
        <v>27</v>
      </c>
      <c r="C19" s="16">
        <v>0</v>
      </c>
      <c r="D19" s="16">
        <v>0</v>
      </c>
    </row>
    <row r="20" spans="1:4" ht="45.75" thickBot="1">
      <c r="A20" s="15" t="s">
        <v>28</v>
      </c>
      <c r="B20" s="15" t="s">
        <v>29</v>
      </c>
      <c r="C20" s="16">
        <v>0</v>
      </c>
      <c r="D20" s="16">
        <v>0</v>
      </c>
    </row>
    <row r="21" spans="1:4" ht="45.75" thickBot="1">
      <c r="A21" s="15" t="s">
        <v>30</v>
      </c>
      <c r="B21" s="15" t="s">
        <v>31</v>
      </c>
      <c r="C21" s="16">
        <v>141</v>
      </c>
      <c r="D21" s="16">
        <v>149</v>
      </c>
    </row>
    <row r="22" spans="1:4" ht="15.75" thickBot="1">
      <c r="A22" s="15"/>
      <c r="B22" s="15" t="s">
        <v>32</v>
      </c>
      <c r="C22" s="16">
        <v>0</v>
      </c>
      <c r="D22" s="16">
        <v>0</v>
      </c>
    </row>
    <row r="23" spans="1:4" ht="15.75" thickBot="1">
      <c r="A23" s="15" t="s">
        <v>33</v>
      </c>
      <c r="B23" s="15" t="s">
        <v>34</v>
      </c>
      <c r="C23" s="16">
        <v>0</v>
      </c>
      <c r="D23" s="16">
        <v>0</v>
      </c>
    </row>
    <row r="24" spans="1:4" ht="15.75" thickBot="1">
      <c r="A24" s="13" t="s">
        <v>5</v>
      </c>
      <c r="B24" s="13" t="s">
        <v>35</v>
      </c>
      <c r="C24" s="14">
        <v>45124</v>
      </c>
      <c r="D24" s="14">
        <v>32789</v>
      </c>
    </row>
    <row r="25" spans="1:4" ht="15.75" thickBot="1">
      <c r="A25" s="15"/>
      <c r="B25" s="15" t="s">
        <v>36</v>
      </c>
      <c r="C25" s="16">
        <v>0</v>
      </c>
      <c r="D25" s="16">
        <v>0</v>
      </c>
    </row>
    <row r="26" spans="1:4" ht="15.75" thickBot="1">
      <c r="A26" s="15"/>
      <c r="B26" s="15" t="s">
        <v>37</v>
      </c>
      <c r="C26" s="16">
        <v>0</v>
      </c>
      <c r="D26" s="16">
        <v>0</v>
      </c>
    </row>
    <row r="27" spans="1:4" ht="15.75" thickBot="1">
      <c r="A27" s="15" t="s">
        <v>38</v>
      </c>
      <c r="B27" s="15" t="s">
        <v>39</v>
      </c>
      <c r="C27" s="16">
        <v>0</v>
      </c>
      <c r="D27" s="16">
        <v>0</v>
      </c>
    </row>
    <row r="28" spans="1:4" ht="15.75" thickBot="1">
      <c r="A28" s="15" t="s">
        <v>38</v>
      </c>
      <c r="B28" s="15" t="s">
        <v>40</v>
      </c>
      <c r="C28" s="16">
        <v>0</v>
      </c>
      <c r="D28" s="16">
        <v>0</v>
      </c>
    </row>
    <row r="29" spans="1:4" ht="15.75" thickBot="1">
      <c r="A29" s="15" t="s">
        <v>41</v>
      </c>
      <c r="B29" s="15" t="s">
        <v>42</v>
      </c>
      <c r="C29" s="16">
        <v>0</v>
      </c>
      <c r="D29" s="16">
        <v>0</v>
      </c>
    </row>
    <row r="30" spans="1:4" ht="15.75" thickBot="1">
      <c r="A30" s="15" t="s">
        <v>43</v>
      </c>
      <c r="B30" s="15" t="s">
        <v>44</v>
      </c>
      <c r="C30" s="16">
        <v>0</v>
      </c>
      <c r="D30" s="16">
        <v>0</v>
      </c>
    </row>
    <row r="31" spans="1:4" ht="15.75" thickBot="1">
      <c r="A31" s="15"/>
      <c r="B31" s="15" t="s">
        <v>45</v>
      </c>
      <c r="C31" s="16">
        <v>3465</v>
      </c>
      <c r="D31" s="16">
        <v>3578</v>
      </c>
    </row>
    <row r="32" spans="1:4" ht="23.25" thickBot="1">
      <c r="A32" s="15" t="s">
        <v>46</v>
      </c>
      <c r="B32" s="15" t="s">
        <v>47</v>
      </c>
      <c r="C32" s="16">
        <v>3270</v>
      </c>
      <c r="D32" s="16">
        <v>3573</v>
      </c>
    </row>
    <row r="33" spans="1:4" ht="15.75" thickBot="1">
      <c r="A33" s="15"/>
      <c r="B33" s="15" t="s">
        <v>16</v>
      </c>
      <c r="C33" s="16">
        <v>195</v>
      </c>
      <c r="D33" s="16">
        <v>5</v>
      </c>
    </row>
    <row r="34" spans="1:4" ht="15.75" thickBot="1">
      <c r="A34" s="15"/>
      <c r="B34" s="15" t="s">
        <v>48</v>
      </c>
      <c r="C34" s="16">
        <v>38135</v>
      </c>
      <c r="D34" s="16">
        <v>25018</v>
      </c>
    </row>
    <row r="35" spans="1:4" ht="34.5" thickBot="1">
      <c r="A35" s="15" t="s">
        <v>49</v>
      </c>
      <c r="B35" s="15" t="s">
        <v>50</v>
      </c>
      <c r="C35" s="16">
        <v>1751</v>
      </c>
      <c r="D35" s="16">
        <v>3162</v>
      </c>
    </row>
    <row r="36" spans="1:4" ht="15.75" thickBot="1">
      <c r="A36" s="15"/>
      <c r="B36" s="15" t="s">
        <v>51</v>
      </c>
      <c r="C36" s="16">
        <v>0</v>
      </c>
      <c r="D36" s="16">
        <v>0</v>
      </c>
    </row>
    <row r="37" spans="1:4" ht="23.25" thickBot="1">
      <c r="A37" s="15" t="s">
        <v>52</v>
      </c>
      <c r="B37" s="15" t="s">
        <v>53</v>
      </c>
      <c r="C37" s="16">
        <v>36384</v>
      </c>
      <c r="D37" s="16">
        <v>21856</v>
      </c>
    </row>
    <row r="38" spans="1:4" ht="68.25" thickBot="1">
      <c r="A38" s="15" t="s">
        <v>54</v>
      </c>
      <c r="B38" s="15" t="s">
        <v>55</v>
      </c>
      <c r="C38" s="16">
        <v>0</v>
      </c>
      <c r="D38" s="16">
        <v>0</v>
      </c>
    </row>
    <row r="39" spans="1:4" ht="68.25" thickBot="1">
      <c r="A39" s="15" t="s">
        <v>56</v>
      </c>
      <c r="B39" s="15" t="s">
        <v>57</v>
      </c>
      <c r="C39" s="16">
        <v>2750</v>
      </c>
      <c r="D39" s="16">
        <v>3774</v>
      </c>
    </row>
    <row r="40" spans="1:4" ht="15.75" thickBot="1">
      <c r="A40" s="15" t="s">
        <v>58</v>
      </c>
      <c r="B40" s="15" t="s">
        <v>59</v>
      </c>
      <c r="C40" s="16">
        <v>215</v>
      </c>
      <c r="D40" s="16">
        <v>84</v>
      </c>
    </row>
    <row r="41" spans="1:4" ht="15.75" thickBot="1">
      <c r="A41" s="15"/>
      <c r="B41" s="15" t="s">
        <v>60</v>
      </c>
      <c r="C41" s="16">
        <v>559</v>
      </c>
      <c r="D41" s="16">
        <v>335</v>
      </c>
    </row>
    <row r="42" spans="1:4" ht="15.75" thickBot="1">
      <c r="A42" s="17"/>
      <c r="B42" s="17" t="s">
        <v>61</v>
      </c>
      <c r="C42" s="18">
        <v>62727</v>
      </c>
      <c r="D42" s="18">
        <v>51870</v>
      </c>
    </row>
    <row r="43" spans="1:4" ht="15.75" thickBot="1">
      <c r="A43" s="13" t="s">
        <v>5</v>
      </c>
      <c r="B43" s="13" t="s">
        <v>62</v>
      </c>
      <c r="C43" s="14">
        <v>21725</v>
      </c>
      <c r="D43" s="14">
        <v>16884</v>
      </c>
    </row>
    <row r="44" spans="1:6" ht="15.75" thickBot="1">
      <c r="A44" s="15"/>
      <c r="B44" s="15" t="s">
        <v>63</v>
      </c>
      <c r="C44" s="16">
        <v>21725</v>
      </c>
      <c r="D44" s="16">
        <v>16884</v>
      </c>
      <c r="F44" s="19"/>
    </row>
    <row r="45" spans="1:6" ht="23.25" thickBot="1">
      <c r="A45" s="15" t="s">
        <v>64</v>
      </c>
      <c r="B45" s="15" t="s">
        <v>65</v>
      </c>
      <c r="C45" s="16">
        <v>11838</v>
      </c>
      <c r="D45" s="16">
        <v>0</v>
      </c>
      <c r="F45" s="19"/>
    </row>
    <row r="46" spans="1:4" ht="15.75" thickBot="1">
      <c r="A46" s="15"/>
      <c r="B46" s="15" t="s">
        <v>66</v>
      </c>
      <c r="C46" s="16">
        <v>0</v>
      </c>
      <c r="D46" s="16">
        <v>0</v>
      </c>
    </row>
    <row r="47" spans="1:4" ht="15.75" thickBot="1">
      <c r="A47" s="15" t="s">
        <v>67</v>
      </c>
      <c r="B47" s="15" t="s">
        <v>68</v>
      </c>
      <c r="C47" s="16">
        <v>5143</v>
      </c>
      <c r="D47" s="16">
        <v>-1398207</v>
      </c>
    </row>
    <row r="48" spans="1:4" ht="15.75" thickBot="1">
      <c r="A48" s="15" t="s">
        <v>69</v>
      </c>
      <c r="B48" s="15" t="s">
        <v>70</v>
      </c>
      <c r="C48" s="16">
        <v>0</v>
      </c>
      <c r="D48" s="16">
        <v>0</v>
      </c>
    </row>
    <row r="49" spans="1:4" ht="15.75" thickBot="1">
      <c r="A49" s="15" t="s">
        <v>71</v>
      </c>
      <c r="B49" s="15" t="s">
        <v>72</v>
      </c>
      <c r="C49" s="16">
        <v>0</v>
      </c>
      <c r="D49" s="16">
        <v>977580</v>
      </c>
    </row>
    <row r="50" spans="1:4" ht="15.75" thickBot="1">
      <c r="A50" s="15"/>
      <c r="B50" s="15" t="s">
        <v>73</v>
      </c>
      <c r="C50" s="16">
        <v>0</v>
      </c>
      <c r="D50" s="16">
        <v>429656</v>
      </c>
    </row>
    <row r="51" spans="1:4" ht="15.75" thickBot="1">
      <c r="A51" s="15"/>
      <c r="B51" s="15" t="s">
        <v>74</v>
      </c>
      <c r="C51" s="16">
        <v>4744</v>
      </c>
      <c r="D51" s="16">
        <v>7855</v>
      </c>
    </row>
    <row r="52" spans="1:4" ht="15.75" thickBot="1">
      <c r="A52" s="15" t="s">
        <v>75</v>
      </c>
      <c r="B52" s="15" t="s">
        <v>76</v>
      </c>
      <c r="C52" s="16">
        <v>0</v>
      </c>
      <c r="D52" s="16">
        <v>0</v>
      </c>
    </row>
    <row r="53" spans="1:4" ht="15.75" thickBot="1">
      <c r="A53" s="15"/>
      <c r="B53" s="15" t="s">
        <v>77</v>
      </c>
      <c r="C53" s="16">
        <v>0</v>
      </c>
      <c r="D53" s="16">
        <v>0</v>
      </c>
    </row>
    <row r="54" spans="1:4" ht="15.75" thickBot="1">
      <c r="A54" s="15" t="s">
        <v>78</v>
      </c>
      <c r="B54" s="15" t="s">
        <v>79</v>
      </c>
      <c r="C54" s="16">
        <v>0</v>
      </c>
      <c r="D54" s="16">
        <v>0</v>
      </c>
    </row>
    <row r="55" spans="1:4" ht="15.75" thickBot="1">
      <c r="A55" s="15" t="s">
        <v>80</v>
      </c>
      <c r="B55" s="15" t="s">
        <v>81</v>
      </c>
      <c r="C55" s="16">
        <v>0</v>
      </c>
      <c r="D55" s="16">
        <v>0</v>
      </c>
    </row>
    <row r="56" spans="1:4" ht="15.75" thickBot="1">
      <c r="A56" s="13" t="s">
        <v>5</v>
      </c>
      <c r="B56" s="13" t="s">
        <v>82</v>
      </c>
      <c r="C56" s="14">
        <v>0</v>
      </c>
      <c r="D56" s="14">
        <v>0</v>
      </c>
    </row>
    <row r="57" spans="1:4" ht="15.75" thickBot="1">
      <c r="A57" s="15"/>
      <c r="B57" s="15" t="s">
        <v>83</v>
      </c>
      <c r="C57" s="16">
        <v>0</v>
      </c>
      <c r="D57" s="16">
        <v>0</v>
      </c>
    </row>
    <row r="58" spans="1:4" ht="15.75" thickBot="1">
      <c r="A58" s="15"/>
      <c r="B58" s="15" t="s">
        <v>84</v>
      </c>
      <c r="C58" s="16">
        <v>0</v>
      </c>
      <c r="D58" s="16">
        <v>0</v>
      </c>
    </row>
    <row r="59" spans="1:4" ht="15.75" thickBot="1">
      <c r="A59" s="15"/>
      <c r="B59" s="15" t="s">
        <v>85</v>
      </c>
      <c r="C59" s="16">
        <v>0</v>
      </c>
      <c r="D59" s="16">
        <v>0</v>
      </c>
    </row>
    <row r="60" spans="1:4" ht="15.75" thickBot="1">
      <c r="A60" s="15" t="s">
        <v>86</v>
      </c>
      <c r="B60" s="15" t="s">
        <v>87</v>
      </c>
      <c r="C60" s="16">
        <v>0</v>
      </c>
      <c r="D60" s="16">
        <v>0</v>
      </c>
    </row>
    <row r="61" spans="1:4" ht="15.75" thickBot="1">
      <c r="A61" s="15"/>
      <c r="B61" s="15" t="s">
        <v>88</v>
      </c>
      <c r="C61" s="16">
        <v>0</v>
      </c>
      <c r="D61" s="16">
        <v>0</v>
      </c>
    </row>
    <row r="62" spans="1:4" ht="15.75" thickBot="1">
      <c r="A62" s="15" t="s">
        <v>89</v>
      </c>
      <c r="B62" s="15" t="s">
        <v>90</v>
      </c>
      <c r="C62" s="16">
        <v>0</v>
      </c>
      <c r="D62" s="16">
        <v>0</v>
      </c>
    </row>
    <row r="63" spans="1:4" ht="15.75" thickBot="1">
      <c r="A63" s="15" t="s">
        <v>91</v>
      </c>
      <c r="B63" s="15" t="s">
        <v>92</v>
      </c>
      <c r="C63" s="16">
        <v>0</v>
      </c>
      <c r="D63" s="16">
        <v>0</v>
      </c>
    </row>
    <row r="64" spans="1:4" ht="15.75" thickBot="1">
      <c r="A64" s="15" t="s">
        <v>93</v>
      </c>
      <c r="B64" s="15" t="s">
        <v>94</v>
      </c>
      <c r="C64" s="16">
        <v>0</v>
      </c>
      <c r="D64" s="16">
        <v>0</v>
      </c>
    </row>
    <row r="65" spans="1:4" ht="23.25" thickBot="1">
      <c r="A65" s="15" t="s">
        <v>95</v>
      </c>
      <c r="B65" s="15" t="s">
        <v>96</v>
      </c>
      <c r="C65" s="16">
        <v>0</v>
      </c>
      <c r="D65" s="16">
        <v>0</v>
      </c>
    </row>
    <row r="66" spans="1:4" ht="23.25" thickBot="1">
      <c r="A66" s="15" t="s">
        <v>97</v>
      </c>
      <c r="B66" s="15" t="s">
        <v>98</v>
      </c>
      <c r="C66" s="16">
        <v>0</v>
      </c>
      <c r="D66" s="16">
        <v>0</v>
      </c>
    </row>
    <row r="67" spans="1:4" ht="15.75" thickBot="1">
      <c r="A67" s="15" t="s">
        <v>99</v>
      </c>
      <c r="B67" s="15" t="s">
        <v>100</v>
      </c>
      <c r="C67" s="16">
        <v>0</v>
      </c>
      <c r="D67" s="16">
        <v>0</v>
      </c>
    </row>
    <row r="68" spans="1:4" ht="15.75" thickBot="1">
      <c r="A68" s="15" t="s">
        <v>101</v>
      </c>
      <c r="B68" s="15" t="s">
        <v>102</v>
      </c>
      <c r="C68" s="16">
        <v>0</v>
      </c>
      <c r="D68" s="16">
        <v>0</v>
      </c>
    </row>
    <row r="69" spans="1:4" ht="15.75" thickBot="1">
      <c r="A69" s="15" t="s">
        <v>103</v>
      </c>
      <c r="B69" s="15" t="s">
        <v>104</v>
      </c>
      <c r="C69" s="16">
        <v>0</v>
      </c>
      <c r="D69" s="16">
        <v>0</v>
      </c>
    </row>
    <row r="70" spans="1:4" ht="15.75" thickBot="1">
      <c r="A70" s="15" t="s">
        <v>105</v>
      </c>
      <c r="B70" s="15" t="s">
        <v>106</v>
      </c>
      <c r="C70" s="16">
        <v>0</v>
      </c>
      <c r="D70" s="16">
        <v>0</v>
      </c>
    </row>
    <row r="71" spans="1:4" ht="15.75" thickBot="1">
      <c r="A71" s="13" t="s">
        <v>5</v>
      </c>
      <c r="B71" s="13" t="s">
        <v>107</v>
      </c>
      <c r="C71" s="14">
        <v>41002</v>
      </c>
      <c r="D71" s="14">
        <v>34986</v>
      </c>
    </row>
    <row r="72" spans="1:4" ht="15.75" thickBot="1">
      <c r="A72" s="15" t="s">
        <v>108</v>
      </c>
      <c r="B72" s="15" t="s">
        <v>109</v>
      </c>
      <c r="C72" s="16">
        <v>0</v>
      </c>
      <c r="D72" s="16">
        <v>0</v>
      </c>
    </row>
    <row r="73" spans="1:4" ht="15.75" thickBot="1">
      <c r="A73" s="15"/>
      <c r="B73" s="15" t="s">
        <v>110</v>
      </c>
      <c r="C73" s="16">
        <v>4291</v>
      </c>
      <c r="D73" s="16">
        <v>6111</v>
      </c>
    </row>
    <row r="74" spans="1:4" ht="15.75" thickBot="1">
      <c r="A74" s="15"/>
      <c r="B74" s="15" t="s">
        <v>84</v>
      </c>
      <c r="C74" s="16">
        <v>0</v>
      </c>
      <c r="D74" s="16">
        <v>0</v>
      </c>
    </row>
    <row r="75" spans="1:4" ht="15.75" thickBot="1">
      <c r="A75" s="15"/>
      <c r="B75" s="15" t="s">
        <v>85</v>
      </c>
      <c r="C75" s="16">
        <v>0</v>
      </c>
      <c r="D75" s="16">
        <v>0</v>
      </c>
    </row>
    <row r="76" spans="1:4" ht="23.25" thickBot="1">
      <c r="A76" s="15" t="s">
        <v>111</v>
      </c>
      <c r="B76" s="15" t="s">
        <v>87</v>
      </c>
      <c r="C76" s="16">
        <v>4291</v>
      </c>
      <c r="D76" s="16">
        <v>6111</v>
      </c>
    </row>
    <row r="77" spans="1:4" ht="15.75" thickBot="1">
      <c r="A77" s="15"/>
      <c r="B77" s="15" t="s">
        <v>112</v>
      </c>
      <c r="C77" s="16">
        <v>8945</v>
      </c>
      <c r="D77" s="16">
        <v>6018</v>
      </c>
    </row>
    <row r="78" spans="1:4" ht="15.75" thickBot="1">
      <c r="A78" s="15" t="s">
        <v>113</v>
      </c>
      <c r="B78" s="15" t="s">
        <v>90</v>
      </c>
      <c r="C78" s="16">
        <v>0</v>
      </c>
      <c r="D78" s="16">
        <v>0</v>
      </c>
    </row>
    <row r="79" spans="1:4" ht="15.75" thickBot="1">
      <c r="A79" s="15" t="s">
        <v>114</v>
      </c>
      <c r="B79" s="15" t="s">
        <v>92</v>
      </c>
      <c r="C79" s="16">
        <v>8945</v>
      </c>
      <c r="D79" s="16">
        <v>6018</v>
      </c>
    </row>
    <row r="80" spans="1:4" ht="15.75" thickBot="1">
      <c r="A80" s="15" t="s">
        <v>115</v>
      </c>
      <c r="B80" s="15" t="s">
        <v>94</v>
      </c>
      <c r="C80" s="16">
        <v>0</v>
      </c>
      <c r="D80" s="16">
        <v>0</v>
      </c>
    </row>
    <row r="81" spans="1:4" ht="68.25" thickBot="1">
      <c r="A81" s="15" t="s">
        <v>116</v>
      </c>
      <c r="B81" s="15" t="s">
        <v>117</v>
      </c>
      <c r="C81" s="16">
        <v>0</v>
      </c>
      <c r="D81" s="16">
        <v>0</v>
      </c>
    </row>
    <row r="82" spans="1:4" ht="45.75" thickBot="1">
      <c r="A82" s="15" t="s">
        <v>118</v>
      </c>
      <c r="B82" s="15" t="s">
        <v>119</v>
      </c>
      <c r="C82" s="16">
        <v>0</v>
      </c>
      <c r="D82" s="16">
        <v>0</v>
      </c>
    </row>
    <row r="83" spans="1:4" ht="15.75" thickBot="1">
      <c r="A83" s="15"/>
      <c r="B83" s="15" t="s">
        <v>120</v>
      </c>
      <c r="C83" s="16">
        <v>27766</v>
      </c>
      <c r="D83" s="16">
        <v>22857</v>
      </c>
    </row>
    <row r="84" spans="1:4" ht="23.25" thickBot="1">
      <c r="A84" s="15" t="s">
        <v>121</v>
      </c>
      <c r="B84" s="15" t="s">
        <v>122</v>
      </c>
      <c r="C84" s="16">
        <v>18733</v>
      </c>
      <c r="D84" s="16">
        <v>18646</v>
      </c>
    </row>
    <row r="85" spans="1:4" ht="23.25" thickBot="1">
      <c r="A85" s="15" t="s">
        <v>123</v>
      </c>
      <c r="B85" s="15" t="s">
        <v>124</v>
      </c>
      <c r="C85" s="16">
        <v>9033</v>
      </c>
      <c r="D85" s="16">
        <v>4211</v>
      </c>
    </row>
    <row r="86" spans="1:4" ht="15.75" thickBot="1">
      <c r="A86" s="15" t="s">
        <v>125</v>
      </c>
      <c r="B86" s="15" t="s">
        <v>126</v>
      </c>
      <c r="C86" s="16">
        <v>0</v>
      </c>
      <c r="D86" s="16">
        <v>0</v>
      </c>
    </row>
    <row r="87" spans="1:4" ht="15.75" thickBot="1">
      <c r="A87" s="15" t="s">
        <v>127</v>
      </c>
      <c r="B87" s="15" t="s">
        <v>128</v>
      </c>
      <c r="C87" s="16">
        <v>0</v>
      </c>
      <c r="D87" s="16">
        <v>0</v>
      </c>
    </row>
    <row r="88" spans="1:4" ht="15.75" thickBot="1">
      <c r="A88" s="17"/>
      <c r="B88" s="17" t="s">
        <v>129</v>
      </c>
      <c r="C88" s="18">
        <v>62727</v>
      </c>
      <c r="D88" s="18">
        <v>51870</v>
      </c>
    </row>
    <row r="90" spans="3:4" ht="15">
      <c r="C90" s="19"/>
      <c r="D90" s="19"/>
    </row>
    <row r="91" spans="3:4" ht="15">
      <c r="C91" s="19"/>
      <c r="D91" s="19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2017-11-13T11:10:22Z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