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Perfiles\MRL7116\Documents\OneDrive - Madrid Digital\ACCESIBILIDAD\PTPR\2023\"/>
    </mc:Choice>
  </mc:AlternateContent>
  <bookViews>
    <workbookView xWindow="-120" yWindow="-120" windowWidth="29040" windowHeight="15840" tabRatio="808" firstSheet="4" activeTab="11"/>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5" l="1"/>
  <c r="D25" i="5"/>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D1889" i="22"/>
  <c r="E1889" i="22" s="1"/>
  <c r="D1887" i="22"/>
  <c r="E1887" i="22" s="1"/>
  <c r="E1885" i="22"/>
  <c r="E1884" i="22"/>
  <c r="E1883" i="22"/>
  <c r="E1882" i="22"/>
  <c r="D1888" i="22" l="1"/>
  <c r="E1888" i="22" s="1"/>
  <c r="D1892" i="22"/>
  <c r="E1892" i="22" s="1"/>
  <c r="D1896" i="22"/>
  <c r="E1896" i="22" s="1"/>
  <c r="D1900" i="22"/>
  <c r="E1900" i="22" s="1"/>
  <c r="D1904" i="22"/>
  <c r="E1904" i="22" s="1"/>
  <c r="D1908" i="22"/>
  <c r="E1908" i="22" s="1"/>
  <c r="D1912" i="22"/>
  <c r="E1912" i="22" s="1"/>
  <c r="D1886" i="22"/>
  <c r="E1886" i="22" s="1"/>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CG20" i="9" a="1"/>
  <c r="K1882" i="22"/>
  <c r="D1165" i="21" l="1"/>
  <c r="D1253" i="22"/>
  <c r="D228" i="5"/>
  <c r="D139" i="21"/>
  <c r="D224" i="5"/>
  <c r="D304" i="15"/>
  <c r="CG20" i="9"/>
  <c r="DC3" i="19" s="1"/>
  <c r="D238" i="5"/>
  <c r="D157" i="14"/>
  <c r="D34" i="13"/>
  <c r="D198" i="18"/>
  <c r="D108" i="13"/>
  <c r="D308" i="15"/>
  <c r="D1249" i="22"/>
  <c r="D51" i="13"/>
  <c r="D66" i="13"/>
  <c r="D70" i="13"/>
  <c r="D82" i="13"/>
  <c r="D90" i="13"/>
  <c r="D101" i="13"/>
  <c r="D668" i="21"/>
  <c r="D672" i="21"/>
  <c r="D723" i="21"/>
  <c r="D424" i="22"/>
  <c r="D1336" i="22"/>
  <c r="D1332" i="22"/>
  <c r="D1873" i="22"/>
  <c r="D82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CG27" i="9" a="1"/>
  <c r="CG27" i="9" s="1"/>
  <c r="DC10"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CG25" i="9" a="1"/>
  <c r="CG25" i="9" s="1"/>
  <c r="DC8"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141" i="5"/>
  <c r="D236" i="5"/>
  <c r="D240" i="5"/>
  <c r="D28" i="18"/>
  <c r="D32" i="18"/>
  <c r="D76" i="18"/>
  <c r="D127" i="18"/>
  <c r="T5" i="19"/>
  <c r="V5" i="19" s="1"/>
  <c r="CG26" i="9" a="1"/>
  <c r="CG26" i="9" s="1"/>
  <c r="DC9" i="19" s="1"/>
  <c r="T9" i="19"/>
  <c r="V9" i="19" s="1"/>
  <c r="CG42" i="9" a="1"/>
  <c r="CG42" i="9" s="1"/>
  <c r="DC25" i="19" s="1"/>
  <c r="T25" i="19"/>
  <c r="V25" i="19" s="1"/>
  <c r="T7" i="19"/>
  <c r="V7" i="19" s="1"/>
  <c r="CG28" i="9" a="1"/>
  <c r="CG28" i="9" s="1"/>
  <c r="DC11"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1772"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330"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177" i="14"/>
  <c r="D543" i="14"/>
  <c r="D50" i="15"/>
  <c r="D69" i="15"/>
  <c r="D138" i="15"/>
  <c r="D146" i="15"/>
  <c r="D150" i="15"/>
  <c r="D162" i="15"/>
  <c r="D185" i="15"/>
  <c r="D35" i="13"/>
  <c r="D75" i="13"/>
  <c r="D678" i="14"/>
  <c r="D674" i="14"/>
  <c r="D30" i="15"/>
  <c r="D381" i="22"/>
  <c r="D767" i="22"/>
  <c r="D74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129" i="22"/>
  <c r="D1358" i="22"/>
  <c r="D1397" i="22"/>
  <c r="D1393" i="22"/>
  <c r="D1450" i="22"/>
  <c r="D1445" i="22"/>
  <c r="D28" i="21"/>
  <c r="D32" i="21"/>
  <c r="D585" i="21"/>
  <c r="D606" i="21"/>
  <c r="D618" i="21"/>
  <c r="D623" i="21"/>
  <c r="D722" i="21"/>
  <c r="D798" i="21"/>
  <c r="D918" i="21"/>
  <c r="D980" i="21"/>
  <c r="D1002" i="21"/>
  <c r="D1192" i="21"/>
  <c r="D1597" i="21"/>
  <c r="D1698" i="21"/>
  <c r="D196" i="5"/>
  <c r="D78" i="18"/>
  <c r="D83" i="18"/>
  <c r="D102" i="18"/>
  <c r="D1792" i="22"/>
  <c r="D1047" i="21"/>
  <c r="D1369" i="21"/>
  <c r="D1373" i="21"/>
  <c r="D1377" i="21"/>
  <c r="D1382" i="21"/>
  <c r="D1408" i="21"/>
  <c r="D1456" i="21"/>
  <c r="D28" i="5"/>
  <c r="D47" i="5"/>
  <c r="D67" i="5"/>
  <c r="D89" i="5"/>
  <c r="D104" i="5"/>
  <c r="D108" i="5"/>
  <c r="D112" i="5"/>
  <c r="D143" i="5"/>
  <c r="D147" i="5"/>
  <c r="D151" i="5"/>
  <c r="D65" i="18"/>
  <c r="D101" i="18"/>
  <c r="D294" i="15"/>
  <c r="D302" i="15"/>
  <c r="D306"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673" i="14"/>
  <c r="D24" i="15"/>
  <c r="D29" i="15"/>
  <c r="D52" i="15"/>
  <c r="D68" i="15"/>
  <c r="D113" i="15"/>
  <c r="D114" i="15"/>
  <c r="D203" i="15"/>
  <c r="D204" i="15"/>
  <c r="D205" i="15"/>
  <c r="D231" i="15"/>
  <c r="D104" i="13"/>
  <c r="D151" i="14"/>
  <c r="D143" i="14"/>
  <c r="D234" i="14"/>
  <c r="D490" i="14"/>
  <c r="D679" i="14"/>
  <c r="D44" i="15"/>
  <c r="D26" i="13"/>
  <c r="D46" i="13"/>
  <c r="D74" i="13"/>
  <c r="D165" i="14"/>
  <c r="D243" i="14"/>
  <c r="D239" i="14"/>
  <c r="D235" i="14"/>
  <c r="D501" i="14"/>
  <c r="D497" i="14"/>
  <c r="D527" i="14"/>
  <c r="D519" i="14"/>
  <c r="D686" i="14"/>
  <c r="D180" i="15"/>
  <c r="D200" i="15"/>
  <c r="D252" i="15"/>
  <c r="D1643" i="22"/>
  <c r="D1759" i="22"/>
  <c r="D1734" i="22"/>
  <c r="D1791" i="22"/>
  <c r="D52" i="21"/>
  <c r="D67" i="21"/>
  <c r="D75" i="21"/>
  <c r="D149" i="21"/>
  <c r="D174" i="21"/>
  <c r="D218" i="21"/>
  <c r="D276" i="21"/>
  <c r="D314" i="21"/>
  <c r="D340" i="21"/>
  <c r="D386" i="21"/>
  <c r="D405" i="21"/>
  <c r="D499" i="21"/>
  <c r="D503" i="21"/>
  <c r="D514" i="21"/>
  <c r="D253" i="22"/>
  <c r="D378" i="22"/>
  <c r="D374" i="22"/>
  <c r="D470" i="22"/>
  <c r="D458" i="22"/>
  <c r="D450" i="22"/>
  <c r="D564" i="22"/>
  <c r="D732" i="22"/>
  <c r="D1587" i="21"/>
  <c r="D256" i="15"/>
  <c r="D279" i="15"/>
  <c r="D82" i="22"/>
  <c r="D389" i="22"/>
  <c r="D432" i="22"/>
  <c r="D416" i="22"/>
  <c r="D565" i="22"/>
  <c r="D648" i="22"/>
  <c r="D717" i="22"/>
  <c r="D709" i="22"/>
  <c r="D813" i="22"/>
  <c r="D959" i="22"/>
  <c r="D999" i="22"/>
  <c r="D982" i="22"/>
  <c r="D1032" i="22"/>
  <c r="D1269" i="22"/>
  <c r="D1265" i="22"/>
  <c r="D1287" i="22"/>
  <c r="D1279" i="22"/>
  <c r="D1492" i="22"/>
  <c r="D1632" i="22"/>
  <c r="D1628" i="22"/>
  <c r="D1683" i="22"/>
  <c r="D1675" i="22"/>
  <c r="D1773" i="22"/>
  <c r="D176" i="21"/>
  <c r="D234" i="21"/>
  <c r="D260" i="21"/>
  <c r="D311" i="21"/>
  <c r="D351" i="21"/>
  <c r="D375" i="21"/>
  <c r="D425" i="21"/>
  <c r="D445" i="21"/>
  <c r="D453" i="21"/>
  <c r="D461" i="21"/>
  <c r="D465" i="21"/>
  <c r="D307" i="15"/>
  <c r="D332"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04" i="18"/>
  <c r="D124" i="18"/>
  <c r="D128" i="18"/>
  <c r="D962" i="21"/>
  <c r="D969" i="21"/>
  <c r="D1056" i="21"/>
  <c r="D1071" i="21"/>
  <c r="D1075" i="21"/>
  <c r="D1224" i="21"/>
  <c r="D1312" i="21"/>
  <c r="D1343" i="21"/>
  <c r="D1344" i="21"/>
  <c r="D1359" i="21"/>
  <c r="D30" i="5"/>
  <c r="D81" i="5"/>
  <c r="D86" i="5"/>
  <c r="D116" i="5"/>
  <c r="D126" i="5"/>
  <c r="D128" i="5"/>
  <c r="D139"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63" i="5"/>
  <c r="D85" i="5"/>
  <c r="D120" i="5"/>
  <c r="D180" i="5"/>
  <c r="D292" i="14"/>
  <c r="D456" i="14"/>
  <c r="D71" i="15"/>
  <c r="D109" i="22"/>
  <c r="D101" i="22"/>
  <c r="D252" i="22"/>
  <c r="D83" i="13"/>
  <c r="D91" i="13"/>
  <c r="D102" i="13"/>
  <c r="D110" i="13"/>
  <c r="D121" i="13"/>
  <c r="D125" i="13"/>
  <c r="D167" i="14"/>
  <c r="D149" i="14"/>
  <c r="D231" i="14"/>
  <c r="D329" i="14"/>
  <c r="D383" i="14"/>
  <c r="D379" i="14"/>
  <c r="D367" i="14"/>
  <c r="D509" i="14"/>
  <c r="D498" i="14"/>
  <c r="D493" i="14"/>
  <c r="D568" i="14"/>
  <c r="D563" i="14"/>
  <c r="D633" i="14"/>
  <c r="D687" i="14"/>
  <c r="D682" i="14"/>
  <c r="D680" i="14"/>
  <c r="D196" i="15"/>
  <c r="D348" i="15"/>
  <c r="D352" i="15"/>
  <c r="D46" i="22"/>
  <c r="D40" i="22"/>
  <c r="D32" i="22"/>
  <c r="D90" i="22"/>
  <c r="D367" i="22"/>
  <c r="D467" i="22"/>
  <c r="D443" i="22"/>
  <c r="D561" i="22"/>
  <c r="D632" i="22"/>
  <c r="D28" i="13"/>
  <c r="D29" i="13"/>
  <c r="D42" i="13"/>
  <c r="D47" i="13"/>
  <c r="D50" i="13"/>
  <c r="D159" i="14"/>
  <c r="D141"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15" i="15"/>
  <c r="D230" i="15"/>
  <c r="D241" i="15"/>
  <c r="D242" i="15"/>
  <c r="D243" i="15"/>
  <c r="D266" i="15"/>
  <c r="D268" i="15"/>
  <c r="D271" i="15"/>
  <c r="D297" i="15"/>
  <c r="D301" i="15"/>
  <c r="D329" i="15"/>
  <c r="D350" i="15"/>
  <c r="D91" i="22"/>
  <c r="D83" i="22"/>
  <c r="D121" i="22"/>
  <c r="D155" i="22"/>
  <c r="D147" i="22"/>
  <c r="D139"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04" i="15"/>
  <c r="D115" i="15"/>
  <c r="D120" i="15"/>
  <c r="D139" i="15"/>
  <c r="D166" i="15"/>
  <c r="D176" i="15"/>
  <c r="D193" i="15"/>
  <c r="D214" i="15"/>
  <c r="D225" i="15"/>
  <c r="D226" i="15"/>
  <c r="D227" i="15"/>
  <c r="D228" i="15"/>
  <c r="D229" i="15"/>
  <c r="D240" i="15"/>
  <c r="D259" i="15"/>
  <c r="D264" i="15"/>
  <c r="D292" i="15"/>
  <c r="D295" i="15"/>
  <c r="D314" i="15"/>
  <c r="D328" i="15"/>
  <c r="D345" i="15"/>
  <c r="D349" i="15"/>
  <c r="D355" i="15"/>
  <c r="D471" i="22"/>
  <c r="D489" i="22"/>
  <c r="D481" i="22"/>
  <c r="D585" i="22"/>
  <c r="D581" i="22"/>
  <c r="D577" i="22"/>
  <c r="D573" i="22"/>
  <c r="D569" i="22"/>
  <c r="D656" i="22"/>
  <c r="D655" i="22"/>
  <c r="D647" i="22"/>
  <c r="D710" i="22"/>
  <c r="D885" i="22"/>
  <c r="D876" i="22"/>
  <c r="D860" i="22"/>
  <c r="D923" i="22"/>
  <c r="D919" i="22"/>
  <c r="D906" i="22"/>
  <c r="D947" i="22"/>
  <c r="D937" i="22"/>
  <c r="D994" i="22"/>
  <c r="D1142" i="22"/>
  <c r="D1126" i="22"/>
  <c r="D1188" i="22"/>
  <c r="D1307" i="22"/>
  <c r="D1286" i="22"/>
  <c r="D1278" i="22"/>
  <c r="D1323" i="22"/>
  <c r="D1354" i="22"/>
  <c r="D1469" i="22"/>
  <c r="D1640" i="22"/>
  <c r="D1636" i="22"/>
  <c r="D1627" i="22"/>
  <c r="D1750" i="22"/>
  <c r="D1742" i="22"/>
  <c r="D1797" i="22"/>
  <c r="D1292" i="22"/>
  <c r="D182" i="21"/>
  <c r="D716" i="22"/>
  <c r="D708" i="22"/>
  <c r="D766" i="22"/>
  <c r="D762" i="22"/>
  <c r="D758" i="22"/>
  <c r="D754" i="22"/>
  <c r="D917" i="22"/>
  <c r="D913" i="22"/>
  <c r="D963" i="22"/>
  <c r="D981" i="22"/>
  <c r="D1028" i="22"/>
  <c r="D1062" i="22"/>
  <c r="D1100" i="22"/>
  <c r="D1092" i="22"/>
  <c r="D1134" i="22"/>
  <c r="D1180" i="22"/>
  <c r="D1299" i="22"/>
  <c r="D1294" i="22"/>
  <c r="D1331" i="22"/>
  <c r="D1362" i="22"/>
  <c r="D1357" i="22"/>
  <c r="D1415" i="22"/>
  <c r="D1408" i="22"/>
  <c r="D1403" i="22"/>
  <c r="D1402" i="22"/>
  <c r="D1493" i="22"/>
  <c r="D922" i="22"/>
  <c r="D918" i="22"/>
  <c r="D914" i="22"/>
  <c r="D964" i="22"/>
  <c r="D960" i="22"/>
  <c r="D1183" i="22"/>
  <c r="D1167" i="22"/>
  <c r="D1553" i="22"/>
  <c r="D1545"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26" i="5"/>
  <c r="D73" i="5"/>
  <c r="D79" i="5"/>
  <c r="D80" i="5"/>
  <c r="D88" i="5"/>
  <c r="D140" i="5"/>
  <c r="D154" i="5"/>
  <c r="D158" i="5"/>
  <c r="D165" i="5"/>
  <c r="D183" i="5"/>
  <c r="D184" i="5"/>
  <c r="D191" i="5"/>
  <c r="D192" i="5"/>
  <c r="D198" i="5"/>
  <c r="D202" i="5"/>
  <c r="D40" i="18"/>
  <c r="D51" i="18"/>
  <c r="D75" i="18"/>
  <c r="D86" i="18"/>
  <c r="D89" i="18"/>
  <c r="D107" i="18"/>
  <c r="D110" i="18"/>
  <c r="D120" i="18"/>
  <c r="D139" i="18"/>
  <c r="D143" i="18"/>
  <c r="D147" i="18"/>
  <c r="D151" i="18"/>
  <c r="D155" i="18"/>
  <c r="D159" i="18"/>
  <c r="D163" i="18"/>
  <c r="D167" i="18"/>
  <c r="D178" i="18"/>
  <c r="D182" i="18"/>
  <c r="D186" i="18"/>
  <c r="D190" i="18"/>
  <c r="D194" i="18"/>
  <c r="D1517" i="21"/>
  <c r="D1524" i="21"/>
  <c r="D1525" i="21"/>
  <c r="D1533" i="21"/>
  <c r="D1541" i="21"/>
  <c r="D1545" i="21"/>
  <c r="D1549" i="21"/>
  <c r="D1553" i="21"/>
  <c r="D1559" i="21"/>
  <c r="D1589" i="21"/>
  <c r="D1596" i="21"/>
  <c r="D1624" i="21"/>
  <c r="D1630" i="21"/>
  <c r="D1631" i="21"/>
  <c r="D1632" i="21"/>
  <c r="D102" i="5"/>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5" i="5"/>
  <c r="D68" i="5"/>
  <c r="D82" i="5"/>
  <c r="D90" i="5"/>
  <c r="D106" i="5"/>
  <c r="D107" i="5"/>
  <c r="D115" i="5"/>
  <c r="D123" i="5"/>
  <c r="D216" i="5"/>
  <c r="D220" i="5"/>
  <c r="D226" i="5"/>
  <c r="D234" i="5"/>
  <c r="D242" i="5"/>
  <c r="D64" i="18"/>
  <c r="D184" i="15"/>
  <c r="D296" i="15"/>
  <c r="D31" i="15"/>
  <c r="D51" i="15"/>
  <c r="D87" i="15"/>
  <c r="D90" i="15"/>
  <c r="D103" i="15"/>
  <c r="D119" i="15"/>
  <c r="D149" i="15"/>
  <c r="D165" i="15"/>
  <c r="D187" i="15"/>
  <c r="D191" i="15"/>
  <c r="D194" i="15"/>
  <c r="D263" i="15"/>
  <c r="D265" i="15"/>
  <c r="D273" i="15"/>
  <c r="D274" i="15"/>
  <c r="D280" i="15"/>
  <c r="D290" i="15"/>
  <c r="D303" i="15"/>
  <c r="D309" i="15"/>
  <c r="D315" i="15"/>
  <c r="D331" i="15"/>
  <c r="D340" i="15"/>
  <c r="D341" i="15"/>
  <c r="D346" i="15"/>
  <c r="D353" i="15"/>
  <c r="D41" i="22"/>
  <c r="D33" i="22"/>
  <c r="D25" i="22"/>
  <c r="D27" i="13"/>
  <c r="D36" i="13"/>
  <c r="D37" i="13"/>
  <c r="D38" i="13"/>
  <c r="D39" i="13"/>
  <c r="D40" i="13"/>
  <c r="D115" i="13"/>
  <c r="D116" i="13"/>
  <c r="D119" i="13"/>
  <c r="D120" i="13"/>
  <c r="D122" i="13"/>
  <c r="D49" i="14"/>
  <c r="D41" i="14"/>
  <c r="D33" i="14"/>
  <c r="D124" i="14"/>
  <c r="D116" i="14"/>
  <c r="D108" i="14"/>
  <c r="D102" i="14"/>
  <c r="D163" i="14"/>
  <c r="D153" i="14"/>
  <c r="D147" i="14"/>
  <c r="D240" i="14"/>
  <c r="D279" i="14"/>
  <c r="D271" i="14"/>
  <c r="D263" i="14"/>
  <c r="D255" i="14"/>
  <c r="D393" i="14"/>
  <c r="D382" i="14"/>
  <c r="D372" i="14"/>
  <c r="D366"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4" i="13"/>
  <c r="D68" i="13"/>
  <c r="D72" i="13"/>
  <c r="D76" i="13"/>
  <c r="D80" i="13"/>
  <c r="D84" i="13"/>
  <c r="D88" i="13"/>
  <c r="D103" i="13"/>
  <c r="D107" i="13"/>
  <c r="D111" i="13"/>
  <c r="D27" i="14"/>
  <c r="D448" i="14"/>
  <c r="D502" i="14"/>
  <c r="D494" i="14"/>
  <c r="D576" i="14"/>
  <c r="D571" i="14"/>
  <c r="D619" i="14"/>
  <c r="D611" i="14"/>
  <c r="D603" i="14"/>
  <c r="D632" i="14"/>
  <c r="D733" i="14"/>
  <c r="D28" i="15"/>
  <c r="D35" i="15"/>
  <c r="D37" i="15"/>
  <c r="D38" i="15"/>
  <c r="D42" i="15"/>
  <c r="D43" i="15"/>
  <c r="D65" i="15"/>
  <c r="D82" i="15"/>
  <c r="D107" i="15"/>
  <c r="D123" i="15"/>
  <c r="D140" i="15"/>
  <c r="D141" i="15"/>
  <c r="D142" i="15"/>
  <c r="D153" i="15"/>
  <c r="D156" i="15"/>
  <c r="D157" i="15"/>
  <c r="D158" i="15"/>
  <c r="E172" i="15"/>
  <c r="D179" i="15"/>
  <c r="D188" i="15"/>
  <c r="D192" i="15"/>
  <c r="D198" i="15"/>
  <c r="D201" i="15"/>
  <c r="D202" i="15"/>
  <c r="D223" i="15"/>
  <c r="D239" i="15"/>
  <c r="D254" i="15"/>
  <c r="D255" i="15"/>
  <c r="D257" i="15"/>
  <c r="D258" i="15"/>
  <c r="D260" i="15"/>
  <c r="D270" i="15"/>
  <c r="D277" i="15"/>
  <c r="D278" i="15"/>
  <c r="D293" i="15"/>
  <c r="D299" i="15"/>
  <c r="D300" i="15"/>
  <c r="D305" i="15"/>
  <c r="D311" i="15"/>
  <c r="D312" i="15"/>
  <c r="D313" i="15"/>
  <c r="D319" i="15"/>
  <c r="D334" i="15"/>
  <c r="D335" i="15"/>
  <c r="D343" i="15"/>
  <c r="D344" i="15"/>
  <c r="D25" i="13"/>
  <c r="D31" i="13"/>
  <c r="D32" i="13"/>
  <c r="D65" i="13"/>
  <c r="D69" i="13"/>
  <c r="D73" i="13"/>
  <c r="D77" i="13"/>
  <c r="D81" i="13"/>
  <c r="D85" i="13"/>
  <c r="D89" i="13"/>
  <c r="D117" i="13"/>
  <c r="D53" i="14"/>
  <c r="D45" i="14"/>
  <c r="D37" i="14"/>
  <c r="D128" i="14"/>
  <c r="D120" i="14"/>
  <c r="D112" i="14"/>
  <c r="D161" i="14"/>
  <c r="D155" i="14"/>
  <c r="D145" i="14"/>
  <c r="D139" i="14"/>
  <c r="D200" i="14"/>
  <c r="D199" i="14"/>
  <c r="D192" i="14"/>
  <c r="D191" i="14"/>
  <c r="D184" i="14"/>
  <c r="D183" i="14"/>
  <c r="D236" i="14"/>
  <c r="D225" i="14"/>
  <c r="D217" i="14"/>
  <c r="D388" i="14"/>
  <c r="D369" i="14"/>
  <c r="D427" i="14"/>
  <c r="D419" i="14"/>
  <c r="D487" i="14"/>
  <c r="D542" i="14"/>
  <c r="D541" i="14"/>
  <c r="D526" i="14"/>
  <c r="D518" i="14"/>
  <c r="D583" i="14"/>
  <c r="D572" i="14"/>
  <c r="D567" i="14"/>
  <c r="D658" i="14"/>
  <c r="D650" i="14"/>
  <c r="D642" i="14"/>
  <c r="D26" i="15"/>
  <c r="D27" i="15"/>
  <c r="D33" i="15"/>
  <c r="D34" i="15"/>
  <c r="D36" i="15"/>
  <c r="D39" i="15"/>
  <c r="D40" i="15"/>
  <c r="D41" i="15"/>
  <c r="D45" i="15"/>
  <c r="D46" i="15"/>
  <c r="D62" i="15"/>
  <c r="D63" i="15"/>
  <c r="D64" i="15"/>
  <c r="D74" i="15"/>
  <c r="D75" i="15"/>
  <c r="D76" i="15"/>
  <c r="D77" i="15"/>
  <c r="D79" i="15"/>
  <c r="D80" i="15"/>
  <c r="D81" i="15"/>
  <c r="D84" i="15"/>
  <c r="D85" i="15"/>
  <c r="D86" i="15"/>
  <c r="D101" i="15"/>
  <c r="D102" i="15"/>
  <c r="D112" i="15"/>
  <c r="D116" i="15"/>
  <c r="D117" i="15"/>
  <c r="D118" i="15"/>
  <c r="D128" i="15"/>
  <c r="D151" i="15"/>
  <c r="D177" i="15"/>
  <c r="D178" i="15"/>
  <c r="D181" i="15"/>
  <c r="D182" i="15"/>
  <c r="D183" i="15"/>
  <c r="D195" i="15"/>
  <c r="D217" i="15"/>
  <c r="D218" i="15"/>
  <c r="D219" i="15"/>
  <c r="D220" i="15"/>
  <c r="D221" i="15"/>
  <c r="D233" i="15"/>
  <c r="D234" i="15"/>
  <c r="D235" i="15"/>
  <c r="D236" i="15"/>
  <c r="D237" i="15"/>
  <c r="D275" i="15"/>
  <c r="D291" i="15"/>
  <c r="D298" i="15"/>
  <c r="D310" i="15"/>
  <c r="D317" i="15"/>
  <c r="D318" i="15"/>
  <c r="D333" i="15"/>
  <c r="D342" i="15"/>
  <c r="D347" i="15"/>
  <c r="D657" i="22"/>
  <c r="D649" i="22"/>
  <c r="D641" i="22"/>
  <c r="D734" i="22"/>
  <c r="D718" i="22"/>
  <c r="D761" i="22"/>
  <c r="D753" i="22"/>
  <c r="D807" i="22"/>
  <c r="D356" i="15"/>
  <c r="D49" i="22"/>
  <c r="D75" i="22"/>
  <c r="D67" i="22"/>
  <c r="D115" i="22"/>
  <c r="D103" i="22"/>
  <c r="D162" i="22"/>
  <c r="D161" i="22"/>
  <c r="D154" i="22"/>
  <c r="D153" i="22"/>
  <c r="D146" i="22"/>
  <c r="D145" i="22"/>
  <c r="D138" i="22"/>
  <c r="D203" i="22"/>
  <c r="D195" i="22"/>
  <c r="D187" i="22"/>
  <c r="D179" i="22"/>
  <c r="D238" i="22"/>
  <c r="D230" i="22"/>
  <c r="D222" i="22"/>
  <c r="D357" i="22"/>
  <c r="D349" i="22"/>
  <c r="D341" i="22"/>
  <c r="D333" i="22"/>
  <c r="D459" i="22"/>
  <c r="D496" i="22"/>
  <c r="D488" i="22"/>
  <c r="D528" i="22"/>
  <c r="D520" i="22"/>
  <c r="D559" i="22"/>
  <c r="D34" i="22"/>
  <c r="D26" i="22"/>
  <c r="D88" i="22"/>
  <c r="D80" i="22"/>
  <c r="D126" i="22"/>
  <c r="D254" i="22"/>
  <c r="D316" i="22"/>
  <c r="D308" i="22"/>
  <c r="D300" i="22"/>
  <c r="D292" i="22"/>
  <c r="D368" i="22"/>
  <c r="D460" i="22"/>
  <c r="D452" i="22"/>
  <c r="D633" i="22"/>
  <c r="D726" i="22"/>
  <c r="D765" i="22"/>
  <c r="D757" i="22"/>
  <c r="D822" i="22"/>
  <c r="D884" i="22"/>
  <c r="D868" i="22"/>
  <c r="D925" i="22"/>
  <c r="D53" i="22"/>
  <c r="D45" i="22"/>
  <c r="D71" i="22"/>
  <c r="D120" i="22"/>
  <c r="D107" i="22"/>
  <c r="D199" i="22"/>
  <c r="D191" i="22"/>
  <c r="D241" i="22"/>
  <c r="D233" i="22"/>
  <c r="D225" i="22"/>
  <c r="D217" i="22"/>
  <c r="D353" i="22"/>
  <c r="D345" i="22"/>
  <c r="D337" i="22"/>
  <c r="D329" i="22"/>
  <c r="D465" i="22"/>
  <c r="D455" i="22"/>
  <c r="D442" i="22"/>
  <c r="D491" i="22"/>
  <c r="D483" i="22"/>
  <c r="D562" i="22"/>
  <c r="D621" i="22"/>
  <c r="D613" i="22"/>
  <c r="D605" i="22"/>
  <c r="D768" i="22"/>
  <c r="D795" i="22"/>
  <c r="D787" i="22"/>
  <c r="D1284" i="22"/>
  <c r="D1339" i="22"/>
  <c r="D1483" i="22"/>
  <c r="D1566" i="22"/>
  <c r="D1558" i="22"/>
  <c r="D1547" i="22"/>
  <c r="D1687" i="22"/>
  <c r="D1672" i="22"/>
  <c r="D1758" i="22"/>
  <c r="D1735" i="22"/>
  <c r="D1798" i="22"/>
  <c r="D1875" i="22"/>
  <c r="D1859" i="22"/>
  <c r="D26" i="21"/>
  <c r="D27" i="21"/>
  <c r="D33" i="21"/>
  <c r="D40" i="21"/>
  <c r="D43" i="21"/>
  <c r="D45" i="21"/>
  <c r="D58" i="21"/>
  <c r="D956" i="22"/>
  <c r="D955" i="22"/>
  <c r="D997" i="22"/>
  <c r="D985" i="22"/>
  <c r="D977" i="22"/>
  <c r="D1040" i="22"/>
  <c r="D1024" i="22"/>
  <c r="D1058" i="22"/>
  <c r="D1114" i="22"/>
  <c r="D1113" i="22"/>
  <c r="D1154" i="22"/>
  <c r="D1146" i="22"/>
  <c r="D1138" i="22"/>
  <c r="D1130" i="22"/>
  <c r="D1192" i="22"/>
  <c r="D1184" i="22"/>
  <c r="D1176" i="22"/>
  <c r="D1168" i="22"/>
  <c r="D1414" i="22"/>
  <c r="D1398" i="22"/>
  <c r="D1437" i="22"/>
  <c r="D1661" i="22"/>
  <c r="D61" i="21"/>
  <c r="D69" i="21"/>
  <c r="D77" i="21"/>
  <c r="D85" i="21"/>
  <c r="D96" i="21"/>
  <c r="D104" i="21"/>
  <c r="D112" i="21"/>
  <c r="D120" i="21"/>
  <c r="D128" i="21"/>
  <c r="D187" i="21"/>
  <c r="D191" i="21"/>
  <c r="D214" i="21"/>
  <c r="D271" i="21"/>
  <c r="D279" i="21"/>
  <c r="D306" i="21"/>
  <c r="D877" i="22"/>
  <c r="D869" i="22"/>
  <c r="D861" i="22"/>
  <c r="D926" i="22"/>
  <c r="D921" i="22"/>
  <c r="D915" i="22"/>
  <c r="D910" i="22"/>
  <c r="D899" i="22"/>
  <c r="D951" i="22"/>
  <c r="D998" i="22"/>
  <c r="D978" i="22"/>
  <c r="D1036" i="22"/>
  <c r="D1020" i="22"/>
  <c r="D1054" i="22"/>
  <c r="D1104" i="22"/>
  <c r="D1098" i="22"/>
  <c r="D1097" i="22"/>
  <c r="D1149" i="22"/>
  <c r="D1141" i="22"/>
  <c r="D1133" i="22"/>
  <c r="D1187" i="22"/>
  <c r="D1179" i="22"/>
  <c r="D1171" i="22"/>
  <c r="D1261" i="22"/>
  <c r="D1245" i="22"/>
  <c r="D1342" i="22"/>
  <c r="D1335" i="22"/>
  <c r="D1328" i="22"/>
  <c r="D1327" i="22"/>
  <c r="D1320" i="22"/>
  <c r="D1319" i="22"/>
  <c r="D1364" i="22"/>
  <c r="D1419" i="22"/>
  <c r="D1416" i="22"/>
  <c r="D1405" i="22"/>
  <c r="D1395" i="22"/>
  <c r="D1394" i="22"/>
  <c r="D1468" i="22"/>
  <c r="D1570" i="22"/>
  <c r="D1562" i="22"/>
  <c r="D1552" i="22"/>
  <c r="D1647" i="22"/>
  <c r="D1639" i="22"/>
  <c r="D1631" i="22"/>
  <c r="D1682" i="22"/>
  <c r="D1664" i="22"/>
  <c r="D1743" i="22"/>
  <c r="D1787" i="22"/>
  <c r="D1774" i="22"/>
  <c r="D1811" i="22"/>
  <c r="D1867" i="22"/>
  <c r="D24" i="21"/>
  <c r="D38" i="21"/>
  <c r="D50" i="21"/>
  <c r="D242" i="21"/>
  <c r="D1000" i="22"/>
  <c r="D1050" i="22"/>
  <c r="D1117" i="22"/>
  <c r="D1150" i="22"/>
  <c r="D1172" i="22"/>
  <c r="D1164"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1" i="5"/>
  <c r="D109" i="5"/>
  <c r="D117" i="5"/>
  <c r="D125" i="5"/>
  <c r="D138" i="5"/>
  <c r="D145" i="5"/>
  <c r="D146" i="5"/>
  <c r="D153" i="5"/>
  <c r="D181" i="5"/>
  <c r="D182" i="5"/>
  <c r="D189" i="5"/>
  <c r="D190" i="5"/>
  <c r="D197" i="5"/>
  <c r="D219" i="5"/>
  <c r="D68" i="18"/>
  <c r="D1496" i="21"/>
  <c r="D1526" i="21"/>
  <c r="D1540" i="21"/>
  <c r="D114" i="5"/>
  <c r="D122" i="5"/>
  <c r="D142" i="5"/>
  <c r="D159" i="5"/>
  <c r="D163" i="5"/>
  <c r="D167" i="5"/>
  <c r="D179" i="5"/>
  <c r="D187" i="5"/>
  <c r="D195" i="5"/>
  <c r="D1480" i="21"/>
  <c r="D1641" i="21"/>
  <c r="D1649" i="21"/>
  <c r="D1655" i="21"/>
  <c r="D1663" i="21"/>
  <c r="D1667" i="21"/>
  <c r="D1673" i="21"/>
  <c r="D1678" i="21"/>
  <c r="D1683" i="21"/>
  <c r="D1692" i="21"/>
  <c r="E1692" i="21" s="1"/>
  <c r="D1694" i="21"/>
  <c r="D1703" i="21"/>
  <c r="D1706" i="21"/>
  <c r="D1712" i="21"/>
  <c r="D1715" i="21"/>
  <c r="D1724" i="21"/>
  <c r="D27" i="5"/>
  <c r="D37" i="5"/>
  <c r="D40" i="5"/>
  <c r="D43" i="5"/>
  <c r="D53" i="5"/>
  <c r="D64" i="5"/>
  <c r="D74" i="5"/>
  <c r="D105" i="5"/>
  <c r="D113" i="5"/>
  <c r="D121" i="5"/>
  <c r="D129" i="5"/>
  <c r="D149" i="5"/>
  <c r="D150" i="5"/>
  <c r="D156" i="5"/>
  <c r="D157" i="5"/>
  <c r="D160" i="5"/>
  <c r="D164" i="5"/>
  <c r="D177" i="5"/>
  <c r="D178"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14" i="5"/>
  <c r="D215" i="5"/>
  <c r="D225" i="5"/>
  <c r="D229" i="5"/>
  <c r="D233" i="5"/>
  <c r="D237" i="5"/>
  <c r="D241" i="5"/>
  <c r="D34" i="18"/>
  <c r="D44" i="18"/>
  <c r="D50" i="18"/>
  <c r="D63" i="18"/>
  <c r="D69" i="18"/>
  <c r="D79" i="18"/>
  <c r="D85" i="18"/>
  <c r="D106" i="18"/>
  <c r="D138" i="18"/>
  <c r="D146" i="18"/>
  <c r="D154" i="18"/>
  <c r="D162" i="18"/>
  <c r="D181" i="18"/>
  <c r="D189" i="18"/>
  <c r="D193" i="18"/>
  <c r="D45" i="18"/>
  <c r="D205" i="18"/>
  <c r="D203" i="5"/>
  <c r="D204" i="5"/>
  <c r="D217" i="5"/>
  <c r="D218" i="5"/>
  <c r="D25" i="18"/>
  <c r="D26" i="18"/>
  <c r="D27" i="18"/>
  <c r="D36" i="18"/>
  <c r="D39" i="18"/>
  <c r="D42" i="18"/>
  <c r="D52" i="18"/>
  <c r="D71" i="18"/>
  <c r="D74" i="18"/>
  <c r="D77" i="18"/>
  <c r="D87" i="18"/>
  <c r="D90" i="18"/>
  <c r="D108" i="18"/>
  <c r="D111" i="18"/>
  <c r="D115" i="18"/>
  <c r="D141" i="18"/>
  <c r="D142" i="18"/>
  <c r="D149" i="18"/>
  <c r="D150" i="18"/>
  <c r="D157" i="18"/>
  <c r="D158" i="18"/>
  <c r="D165" i="18"/>
  <c r="D166" i="18"/>
  <c r="D176" i="18"/>
  <c r="D177" i="18"/>
  <c r="D184" i="18"/>
  <c r="D185" i="18"/>
  <c r="E1881" i="22"/>
  <c r="D33" i="13"/>
  <c r="D47" i="15"/>
  <c r="D48" i="15"/>
  <c r="D78" i="15"/>
  <c r="D83" i="15"/>
  <c r="D105" i="15"/>
  <c r="D106" i="15"/>
  <c r="D121" i="15"/>
  <c r="D122" i="15"/>
  <c r="D197" i="15"/>
  <c r="D222" i="15"/>
  <c r="D238" i="15"/>
  <c r="D253" i="15"/>
  <c r="D269" i="15"/>
  <c r="D351" i="15"/>
  <c r="D123" i="13"/>
  <c r="D25" i="15"/>
  <c r="D145" i="15"/>
  <c r="D148" i="15"/>
  <c r="D161" i="15"/>
  <c r="D164" i="15"/>
  <c r="D216" i="15"/>
  <c r="D232" i="15"/>
  <c r="D281" i="15"/>
  <c r="D316" i="15"/>
  <c r="D469" i="14"/>
  <c r="D486" i="14"/>
  <c r="D532" i="14"/>
  <c r="D582" i="14"/>
  <c r="D578" i="14"/>
  <c r="D574" i="14"/>
  <c r="D570" i="14"/>
  <c r="D711"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27" i="9" a="1"/>
  <c r="CQ27" i="9" s="1"/>
  <c r="CM27" i="9" a="1"/>
  <c r="CM27" i="9" s="1"/>
  <c r="CI27" i="9" a="1"/>
  <c r="CI27" i="9" s="1"/>
  <c r="CD27" i="9" a="1"/>
  <c r="CD27" i="9" s="1"/>
  <c r="BZ27" i="9" a="1"/>
  <c r="BZ27" i="9" s="1"/>
  <c r="BV27" i="9" a="1"/>
  <c r="BV27" i="9" s="1"/>
  <c r="BR27" i="9" a="1"/>
  <c r="BR27" i="9" s="1"/>
  <c r="BN27" i="9" a="1"/>
  <c r="BN27" i="9" s="1"/>
  <c r="BJ27" i="9" a="1"/>
  <c r="BJ27" i="9" s="1"/>
  <c r="BF27" i="9" a="1"/>
  <c r="BF27" i="9" s="1"/>
  <c r="BB27" i="9" a="1"/>
  <c r="BB27" i="9" s="1"/>
  <c r="AX27" i="9" a="1"/>
  <c r="AX27" i="9" s="1"/>
  <c r="AT27" i="9" a="1"/>
  <c r="AT27" i="9" s="1"/>
  <c r="AP27" i="9" a="1"/>
  <c r="AP27" i="9" s="1"/>
  <c r="AL27" i="9" a="1"/>
  <c r="AL27" i="9" s="1"/>
  <c r="AH27" i="9" a="1"/>
  <c r="AH27" i="9" s="1"/>
  <c r="AD27" i="9" a="1"/>
  <c r="AD27" i="9" s="1"/>
  <c r="Z27" i="9" a="1"/>
  <c r="Z27" i="9" s="1"/>
  <c r="V27" i="9" a="1"/>
  <c r="V27" i="9" s="1"/>
  <c r="R27" i="9" a="1"/>
  <c r="R27" i="9" s="1"/>
  <c r="N27" i="9" a="1"/>
  <c r="N27" i="9" s="1"/>
  <c r="J27" i="9" a="1"/>
  <c r="J27" i="9" s="1"/>
  <c r="F27" i="9" a="1"/>
  <c r="F27" i="9" s="1"/>
  <c r="CP27" i="9" a="1"/>
  <c r="CP27" i="9" s="1"/>
  <c r="CL27" i="9" a="1"/>
  <c r="CL27" i="9" s="1"/>
  <c r="CH27" i="9" a="1"/>
  <c r="CH27" i="9" s="1"/>
  <c r="CC27" i="9" a="1"/>
  <c r="CC27" i="9" s="1"/>
  <c r="BY27" i="9" a="1"/>
  <c r="BY27" i="9" s="1"/>
  <c r="BU27" i="9" a="1"/>
  <c r="BU27" i="9" s="1"/>
  <c r="BQ27" i="9" a="1"/>
  <c r="BQ27" i="9" s="1"/>
  <c r="BM27" i="9" a="1"/>
  <c r="BM27" i="9" s="1"/>
  <c r="BI27" i="9" a="1"/>
  <c r="BI27" i="9" s="1"/>
  <c r="BE27" i="9" a="1"/>
  <c r="BE27" i="9" s="1"/>
  <c r="BA27" i="9" a="1"/>
  <c r="BA27" i="9" s="1"/>
  <c r="AW27" i="9" a="1"/>
  <c r="AW27" i="9" s="1"/>
  <c r="AS27" i="9" a="1"/>
  <c r="AS27" i="9" s="1"/>
  <c r="AO27" i="9" a="1"/>
  <c r="AO27" i="9" s="1"/>
  <c r="AK27" i="9" a="1"/>
  <c r="AK27" i="9" s="1"/>
  <c r="AG27" i="9" a="1"/>
  <c r="AG27" i="9" s="1"/>
  <c r="AC27" i="9" a="1"/>
  <c r="AC27" i="9" s="1"/>
  <c r="Y27" i="9" a="1"/>
  <c r="Y27" i="9" s="1"/>
  <c r="U27" i="9" a="1"/>
  <c r="U27" i="9" s="1"/>
  <c r="Q27" i="9" a="1"/>
  <c r="Q27" i="9" s="1"/>
  <c r="M27" i="9" a="1"/>
  <c r="M27" i="9" s="1"/>
  <c r="I27" i="9" a="1"/>
  <c r="I27" i="9" s="1"/>
  <c r="E27" i="9" a="1"/>
  <c r="E27" i="9" s="1"/>
  <c r="CN27" i="9" a="1"/>
  <c r="CN27" i="9" s="1"/>
  <c r="CE27" i="9" a="1"/>
  <c r="CE27" i="9" s="1"/>
  <c r="BW27" i="9" a="1"/>
  <c r="BW27" i="9" s="1"/>
  <c r="BO27" i="9" a="1"/>
  <c r="BO27" i="9" s="1"/>
  <c r="BG27" i="9" a="1"/>
  <c r="BG27" i="9" s="1"/>
  <c r="AY27" i="9" a="1"/>
  <c r="AY27" i="9" s="1"/>
  <c r="AQ27" i="9" a="1"/>
  <c r="AQ27" i="9" s="1"/>
  <c r="AI27" i="9" a="1"/>
  <c r="AI27" i="9" s="1"/>
  <c r="AA27" i="9" a="1"/>
  <c r="AA27" i="9" s="1"/>
  <c r="S27" i="9" a="1"/>
  <c r="S27" i="9" s="1"/>
  <c r="K27" i="9" a="1"/>
  <c r="K27" i="9" s="1"/>
  <c r="CK27" i="9" a="1"/>
  <c r="CK27" i="9" s="1"/>
  <c r="CB27" i="9" a="1"/>
  <c r="CB27" i="9" s="1"/>
  <c r="BT27" i="9" a="1"/>
  <c r="BT27" i="9" s="1"/>
  <c r="BL27" i="9" a="1"/>
  <c r="BL27" i="9" s="1"/>
  <c r="BD27" i="9" a="1"/>
  <c r="BD27" i="9" s="1"/>
  <c r="AV27" i="9" a="1"/>
  <c r="AV27" i="9" s="1"/>
  <c r="AN27" i="9" a="1"/>
  <c r="AN27" i="9" s="1"/>
  <c r="AF27" i="9" a="1"/>
  <c r="AF27" i="9" s="1"/>
  <c r="X27" i="9" a="1"/>
  <c r="X27" i="9" s="1"/>
  <c r="P27" i="9" a="1"/>
  <c r="P27" i="9" s="1"/>
  <c r="H27" i="9" a="1"/>
  <c r="H27" i="9" s="1"/>
  <c r="CR27" i="9" a="1"/>
  <c r="CR27" i="9" s="1"/>
  <c r="CJ27" i="9" a="1"/>
  <c r="CJ27" i="9" s="1"/>
  <c r="CA27" i="9" a="1"/>
  <c r="CA27" i="9" s="1"/>
  <c r="BS27" i="9" a="1"/>
  <c r="BS27" i="9" s="1"/>
  <c r="BK27" i="9" a="1"/>
  <c r="BK27" i="9" s="1"/>
  <c r="BC27" i="9" a="1"/>
  <c r="BC27" i="9" s="1"/>
  <c r="AU27" i="9" a="1"/>
  <c r="AU27" i="9" s="1"/>
  <c r="AM27" i="9" a="1"/>
  <c r="AM27" i="9" s="1"/>
  <c r="AE27" i="9" a="1"/>
  <c r="AE27" i="9" s="1"/>
  <c r="W27" i="9" a="1"/>
  <c r="W27" i="9" s="1"/>
  <c r="O27" i="9" a="1"/>
  <c r="O27" i="9" s="1"/>
  <c r="G27" i="9" a="1"/>
  <c r="G27" i="9" s="1"/>
  <c r="CO27" i="9" a="1"/>
  <c r="CO27" i="9" s="1"/>
  <c r="CF27" i="9" a="1"/>
  <c r="CF27" i="9" s="1"/>
  <c r="BX27" i="9" a="1"/>
  <c r="BX27" i="9" s="1"/>
  <c r="BP27" i="9" a="1"/>
  <c r="BP27" i="9" s="1"/>
  <c r="BH27" i="9" a="1"/>
  <c r="BH27" i="9" s="1"/>
  <c r="AZ27" i="9" a="1"/>
  <c r="AZ27" i="9" s="1"/>
  <c r="AR27" i="9" a="1"/>
  <c r="AR27" i="9" s="1"/>
  <c r="AJ27" i="9" a="1"/>
  <c r="AJ27" i="9" s="1"/>
  <c r="AB27" i="9" a="1"/>
  <c r="AB27" i="9" s="1"/>
  <c r="T27" i="9" a="1"/>
  <c r="T27" i="9" s="1"/>
  <c r="L27" i="9" a="1"/>
  <c r="L27"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26" i="14"/>
  <c r="D127" i="14"/>
  <c r="D123" i="14"/>
  <c r="D119" i="14"/>
  <c r="D115" i="14"/>
  <c r="D111" i="14"/>
  <c r="D107" i="14"/>
  <c r="D105" i="14"/>
  <c r="D198" i="14"/>
  <c r="D190" i="14"/>
  <c r="D182" i="14"/>
  <c r="D233" i="14"/>
  <c r="D224" i="14"/>
  <c r="D216" i="14"/>
  <c r="D278" i="14"/>
  <c r="D270" i="14"/>
  <c r="D262" i="14"/>
  <c r="D254" i="14"/>
  <c r="D357" i="14"/>
  <c r="D354" i="14"/>
  <c r="D353" i="14"/>
  <c r="D350" i="14"/>
  <c r="D349" i="14"/>
  <c r="D346" i="14"/>
  <c r="D345" i="14"/>
  <c r="D342" i="14"/>
  <c r="D341" i="14"/>
  <c r="D338" i="14"/>
  <c r="D337" i="14"/>
  <c r="D334" i="14"/>
  <c r="D333" i="14"/>
  <c r="D330" i="14"/>
  <c r="D385" i="14"/>
  <c r="D381" i="14"/>
  <c r="D368" i="14"/>
  <c r="D406" i="14"/>
  <c r="D468" i="14"/>
  <c r="D460" i="14"/>
  <c r="D452" i="14"/>
  <c r="D444" i="14"/>
  <c r="D483" i="14"/>
  <c r="D545" i="14"/>
  <c r="D537" i="14"/>
  <c r="D529" i="14"/>
  <c r="D521" i="14"/>
  <c r="D559" i="14"/>
  <c r="D621" i="14"/>
  <c r="D613" i="14"/>
  <c r="D605" i="14"/>
  <c r="D597" i="14"/>
  <c r="D634" i="14"/>
  <c r="D685" i="14"/>
  <c r="D677" i="14"/>
  <c r="D675" i="14"/>
  <c r="D735" i="14"/>
  <c r="D726" i="14"/>
  <c r="D718" i="14"/>
  <c r="D710"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28" i="9" a="1"/>
  <c r="CR28" i="9" s="1"/>
  <c r="CN28" i="9" a="1"/>
  <c r="CN28" i="9" s="1"/>
  <c r="CJ28" i="9" a="1"/>
  <c r="CJ28" i="9" s="1"/>
  <c r="CE28" i="9" a="1"/>
  <c r="CE28" i="9" s="1"/>
  <c r="CA28" i="9" a="1"/>
  <c r="CA28" i="9" s="1"/>
  <c r="BW28" i="9" a="1"/>
  <c r="BW28" i="9" s="1"/>
  <c r="BS28" i="9" a="1"/>
  <c r="BS28" i="9" s="1"/>
  <c r="BO28" i="9" a="1"/>
  <c r="BO28" i="9" s="1"/>
  <c r="BK28" i="9" a="1"/>
  <c r="BK28" i="9" s="1"/>
  <c r="BG28" i="9" a="1"/>
  <c r="BG28" i="9" s="1"/>
  <c r="BC28" i="9" a="1"/>
  <c r="BC28" i="9" s="1"/>
  <c r="AY28" i="9" a="1"/>
  <c r="AY28" i="9" s="1"/>
  <c r="AU28" i="9" a="1"/>
  <c r="AU28" i="9" s="1"/>
  <c r="AQ28" i="9" a="1"/>
  <c r="AQ28" i="9" s="1"/>
  <c r="AM28" i="9" a="1"/>
  <c r="AM28" i="9" s="1"/>
  <c r="AI28" i="9" a="1"/>
  <c r="AI28" i="9" s="1"/>
  <c r="AE28" i="9" a="1"/>
  <c r="AE28" i="9" s="1"/>
  <c r="AA28" i="9" a="1"/>
  <c r="AA28" i="9" s="1"/>
  <c r="W28" i="9" a="1"/>
  <c r="W28" i="9" s="1"/>
  <c r="S28" i="9" a="1"/>
  <c r="S28" i="9" s="1"/>
  <c r="O28" i="9" a="1"/>
  <c r="O28" i="9" s="1"/>
  <c r="K28" i="9" a="1"/>
  <c r="K28" i="9" s="1"/>
  <c r="G28" i="9" a="1"/>
  <c r="G28" i="9" s="1"/>
  <c r="CQ28" i="9" a="1"/>
  <c r="CQ28" i="9" s="1"/>
  <c r="CM28" i="9" a="1"/>
  <c r="CM28" i="9" s="1"/>
  <c r="CI28" i="9" a="1"/>
  <c r="CI28" i="9" s="1"/>
  <c r="CD28" i="9" a="1"/>
  <c r="CD28" i="9" s="1"/>
  <c r="BZ28" i="9" a="1"/>
  <c r="BZ28" i="9" s="1"/>
  <c r="BV28" i="9" a="1"/>
  <c r="BV28" i="9" s="1"/>
  <c r="BR28" i="9" a="1"/>
  <c r="BR28" i="9" s="1"/>
  <c r="BN28" i="9" a="1"/>
  <c r="BN28" i="9" s="1"/>
  <c r="BJ28" i="9" a="1"/>
  <c r="BJ28" i="9" s="1"/>
  <c r="BF28" i="9" a="1"/>
  <c r="BF28" i="9" s="1"/>
  <c r="BB28" i="9" a="1"/>
  <c r="BB28" i="9" s="1"/>
  <c r="AX28" i="9" a="1"/>
  <c r="AX28" i="9" s="1"/>
  <c r="AT28" i="9" a="1"/>
  <c r="AT28" i="9" s="1"/>
  <c r="AP28" i="9" a="1"/>
  <c r="AP28" i="9" s="1"/>
  <c r="AL28" i="9" a="1"/>
  <c r="AL28" i="9" s="1"/>
  <c r="AH28" i="9" a="1"/>
  <c r="AH28" i="9" s="1"/>
  <c r="AD28" i="9" a="1"/>
  <c r="AD28" i="9" s="1"/>
  <c r="Z28" i="9" a="1"/>
  <c r="Z28" i="9" s="1"/>
  <c r="V28" i="9" a="1"/>
  <c r="V28" i="9" s="1"/>
  <c r="R28" i="9" a="1"/>
  <c r="R28" i="9" s="1"/>
  <c r="N28" i="9" a="1"/>
  <c r="N28" i="9" s="1"/>
  <c r="J28" i="9" a="1"/>
  <c r="J28" i="9" s="1"/>
  <c r="F28" i="9" a="1"/>
  <c r="F28" i="9" s="1"/>
  <c r="CK28" i="9" a="1"/>
  <c r="CK28" i="9" s="1"/>
  <c r="CB28" i="9" a="1"/>
  <c r="CB28" i="9" s="1"/>
  <c r="BT28" i="9" a="1"/>
  <c r="BT28" i="9" s="1"/>
  <c r="BL28" i="9" a="1"/>
  <c r="BL28" i="9" s="1"/>
  <c r="BD28" i="9" a="1"/>
  <c r="BD28" i="9" s="1"/>
  <c r="AV28" i="9" a="1"/>
  <c r="AV28" i="9" s="1"/>
  <c r="AN28" i="9" a="1"/>
  <c r="AN28" i="9" s="1"/>
  <c r="AF28" i="9" a="1"/>
  <c r="AF28" i="9" s="1"/>
  <c r="X28" i="9" a="1"/>
  <c r="X28" i="9" s="1"/>
  <c r="P28" i="9" a="1"/>
  <c r="P28" i="9" s="1"/>
  <c r="H28" i="9" a="1"/>
  <c r="H28" i="9" s="1"/>
  <c r="CP28" i="9" a="1"/>
  <c r="CP28" i="9" s="1"/>
  <c r="CH28" i="9" a="1"/>
  <c r="CH28" i="9" s="1"/>
  <c r="BY28" i="9" a="1"/>
  <c r="BY28" i="9" s="1"/>
  <c r="BQ28" i="9" a="1"/>
  <c r="BQ28" i="9" s="1"/>
  <c r="BI28" i="9" a="1"/>
  <c r="BI28" i="9" s="1"/>
  <c r="BA28" i="9" a="1"/>
  <c r="BA28" i="9" s="1"/>
  <c r="AS28" i="9" a="1"/>
  <c r="AS28" i="9" s="1"/>
  <c r="AK28" i="9" a="1"/>
  <c r="AK28" i="9" s="1"/>
  <c r="AC28" i="9" a="1"/>
  <c r="AC28" i="9" s="1"/>
  <c r="U28" i="9" a="1"/>
  <c r="U28" i="9" s="1"/>
  <c r="M28" i="9" a="1"/>
  <c r="M28" i="9" s="1"/>
  <c r="E28" i="9" a="1"/>
  <c r="E28" i="9" s="1"/>
  <c r="CO28" i="9" a="1"/>
  <c r="CO28" i="9" s="1"/>
  <c r="CF28" i="9" a="1"/>
  <c r="CF28" i="9" s="1"/>
  <c r="BX28" i="9" a="1"/>
  <c r="BX28" i="9" s="1"/>
  <c r="BP28" i="9" a="1"/>
  <c r="BP28" i="9" s="1"/>
  <c r="BH28" i="9" a="1"/>
  <c r="BH28" i="9" s="1"/>
  <c r="AZ28" i="9" a="1"/>
  <c r="AZ28" i="9" s="1"/>
  <c r="AR28" i="9" a="1"/>
  <c r="AR28" i="9" s="1"/>
  <c r="AJ28" i="9" a="1"/>
  <c r="AJ28" i="9" s="1"/>
  <c r="AB28" i="9" a="1"/>
  <c r="AB28" i="9" s="1"/>
  <c r="T28" i="9" a="1"/>
  <c r="T28" i="9" s="1"/>
  <c r="L28" i="9" a="1"/>
  <c r="L28" i="9" s="1"/>
  <c r="CL28" i="9" a="1"/>
  <c r="CL28" i="9" s="1"/>
  <c r="CC28" i="9" a="1"/>
  <c r="CC28" i="9" s="1"/>
  <c r="BU28" i="9" a="1"/>
  <c r="BU28" i="9" s="1"/>
  <c r="BM28" i="9" a="1"/>
  <c r="BM28" i="9" s="1"/>
  <c r="BE28" i="9" a="1"/>
  <c r="BE28" i="9" s="1"/>
  <c r="AW28" i="9" a="1"/>
  <c r="AW28" i="9" s="1"/>
  <c r="AO28" i="9" a="1"/>
  <c r="AO28" i="9" s="1"/>
  <c r="AG28" i="9" a="1"/>
  <c r="AG28" i="9" s="1"/>
  <c r="Y28" i="9" a="1"/>
  <c r="Y28" i="9" s="1"/>
  <c r="Q28" i="9" a="1"/>
  <c r="Q28" i="9" s="1"/>
  <c r="I28" i="9" a="1"/>
  <c r="I28"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445"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26" i="9" a="1"/>
  <c r="CP26" i="9" s="1"/>
  <c r="CL26" i="9" a="1"/>
  <c r="CL26" i="9" s="1"/>
  <c r="CH26" i="9" a="1"/>
  <c r="CH26" i="9" s="1"/>
  <c r="CC26" i="9" a="1"/>
  <c r="CC26" i="9" s="1"/>
  <c r="BY26" i="9" a="1"/>
  <c r="BY26" i="9" s="1"/>
  <c r="BU26" i="9" a="1"/>
  <c r="BU26" i="9" s="1"/>
  <c r="BQ26" i="9" a="1"/>
  <c r="BQ26" i="9" s="1"/>
  <c r="BM26" i="9" a="1"/>
  <c r="BM26" i="9" s="1"/>
  <c r="BI26" i="9" a="1"/>
  <c r="BI26" i="9" s="1"/>
  <c r="BE26" i="9" a="1"/>
  <c r="BE26" i="9" s="1"/>
  <c r="BA26" i="9" a="1"/>
  <c r="BA26" i="9" s="1"/>
  <c r="AW26" i="9" a="1"/>
  <c r="AW26" i="9" s="1"/>
  <c r="AS26" i="9" a="1"/>
  <c r="AS26" i="9" s="1"/>
  <c r="AO26" i="9" a="1"/>
  <c r="AO26" i="9" s="1"/>
  <c r="AK26" i="9" a="1"/>
  <c r="AK26" i="9" s="1"/>
  <c r="AG26" i="9" a="1"/>
  <c r="AG26" i="9" s="1"/>
  <c r="AC26" i="9" a="1"/>
  <c r="AC26" i="9" s="1"/>
  <c r="Y26" i="9" a="1"/>
  <c r="Y26" i="9" s="1"/>
  <c r="U26" i="9" a="1"/>
  <c r="U26" i="9" s="1"/>
  <c r="Q26" i="9" a="1"/>
  <c r="Q26" i="9" s="1"/>
  <c r="M26" i="9" a="1"/>
  <c r="M26" i="9" s="1"/>
  <c r="I26" i="9" a="1"/>
  <c r="I26" i="9" s="1"/>
  <c r="E26" i="9" a="1"/>
  <c r="E26" i="9" s="1"/>
  <c r="CO26" i="9" a="1"/>
  <c r="CO26" i="9" s="1"/>
  <c r="CK26" i="9" a="1"/>
  <c r="CK26" i="9" s="1"/>
  <c r="CF26" i="9" a="1"/>
  <c r="CF26" i="9" s="1"/>
  <c r="CB26" i="9" a="1"/>
  <c r="CB26" i="9" s="1"/>
  <c r="BX26" i="9" a="1"/>
  <c r="BX26" i="9" s="1"/>
  <c r="BT26" i="9" a="1"/>
  <c r="BT26" i="9" s="1"/>
  <c r="BP26" i="9" a="1"/>
  <c r="BP26" i="9" s="1"/>
  <c r="BL26" i="9" a="1"/>
  <c r="BL26" i="9" s="1"/>
  <c r="BH26" i="9" a="1"/>
  <c r="BH26" i="9" s="1"/>
  <c r="BD26" i="9" a="1"/>
  <c r="BD26" i="9" s="1"/>
  <c r="AZ26" i="9" a="1"/>
  <c r="AZ26" i="9" s="1"/>
  <c r="AV26" i="9" a="1"/>
  <c r="AV26" i="9" s="1"/>
  <c r="AR26" i="9" a="1"/>
  <c r="AR26" i="9" s="1"/>
  <c r="AN26" i="9" a="1"/>
  <c r="AN26" i="9" s="1"/>
  <c r="AJ26" i="9" a="1"/>
  <c r="AJ26" i="9" s="1"/>
  <c r="AF26" i="9" a="1"/>
  <c r="AF26" i="9" s="1"/>
  <c r="AB26" i="9" a="1"/>
  <c r="AB26" i="9" s="1"/>
  <c r="X26" i="9" a="1"/>
  <c r="X26" i="9" s="1"/>
  <c r="T26" i="9" a="1"/>
  <c r="T26" i="9" s="1"/>
  <c r="P26" i="9" a="1"/>
  <c r="P26" i="9" s="1"/>
  <c r="L26" i="9" a="1"/>
  <c r="L26" i="9" s="1"/>
  <c r="H26" i="9" a="1"/>
  <c r="H26" i="9" s="1"/>
  <c r="CQ26" i="9" a="1"/>
  <c r="CQ26" i="9" s="1"/>
  <c r="CI26" i="9" a="1"/>
  <c r="CI26" i="9" s="1"/>
  <c r="BZ26" i="9" a="1"/>
  <c r="BZ26" i="9" s="1"/>
  <c r="BR26" i="9" a="1"/>
  <c r="BR26" i="9" s="1"/>
  <c r="BJ26" i="9" a="1"/>
  <c r="BJ26" i="9" s="1"/>
  <c r="BB26" i="9" a="1"/>
  <c r="BB26" i="9" s="1"/>
  <c r="AT26" i="9" a="1"/>
  <c r="AT26" i="9" s="1"/>
  <c r="AL26" i="9" a="1"/>
  <c r="AL26" i="9" s="1"/>
  <c r="AD26" i="9" a="1"/>
  <c r="AD26" i="9" s="1"/>
  <c r="V26" i="9" a="1"/>
  <c r="V26" i="9" s="1"/>
  <c r="N26" i="9" a="1"/>
  <c r="N26" i="9" s="1"/>
  <c r="F26" i="9" a="1"/>
  <c r="F26" i="9" s="1"/>
  <c r="CN26" i="9" a="1"/>
  <c r="CN26" i="9" s="1"/>
  <c r="CE26" i="9" a="1"/>
  <c r="CE26" i="9" s="1"/>
  <c r="BW26" i="9" a="1"/>
  <c r="BW26" i="9" s="1"/>
  <c r="BO26" i="9" a="1"/>
  <c r="BO26" i="9" s="1"/>
  <c r="BG26" i="9" a="1"/>
  <c r="BG26" i="9" s="1"/>
  <c r="AY26" i="9" a="1"/>
  <c r="AY26" i="9" s="1"/>
  <c r="AQ26" i="9" a="1"/>
  <c r="AQ26" i="9" s="1"/>
  <c r="AI26" i="9" a="1"/>
  <c r="AI26" i="9" s="1"/>
  <c r="AA26" i="9" a="1"/>
  <c r="AA26" i="9" s="1"/>
  <c r="S26" i="9" a="1"/>
  <c r="S26" i="9" s="1"/>
  <c r="K26" i="9" a="1"/>
  <c r="K26" i="9" s="1"/>
  <c r="CM26" i="9" a="1"/>
  <c r="CM26" i="9" s="1"/>
  <c r="CD26" i="9" a="1"/>
  <c r="CD26" i="9" s="1"/>
  <c r="BV26" i="9" a="1"/>
  <c r="BV26" i="9" s="1"/>
  <c r="BN26" i="9" a="1"/>
  <c r="BN26" i="9" s="1"/>
  <c r="BF26" i="9" a="1"/>
  <c r="BF26" i="9" s="1"/>
  <c r="AX26" i="9" a="1"/>
  <c r="AX26" i="9" s="1"/>
  <c r="AP26" i="9" a="1"/>
  <c r="AP26" i="9" s="1"/>
  <c r="AH26" i="9" a="1"/>
  <c r="AH26" i="9" s="1"/>
  <c r="Z26" i="9" a="1"/>
  <c r="Z26" i="9" s="1"/>
  <c r="R26" i="9" a="1"/>
  <c r="R26" i="9" s="1"/>
  <c r="J26" i="9" a="1"/>
  <c r="J26" i="9" s="1"/>
  <c r="CR26" i="9" a="1"/>
  <c r="CR26" i="9" s="1"/>
  <c r="CJ26" i="9" a="1"/>
  <c r="CJ26" i="9" s="1"/>
  <c r="CA26" i="9" a="1"/>
  <c r="CA26" i="9" s="1"/>
  <c r="BS26" i="9" a="1"/>
  <c r="BS26" i="9" s="1"/>
  <c r="BK26" i="9" a="1"/>
  <c r="BK26" i="9" s="1"/>
  <c r="BC26" i="9" a="1"/>
  <c r="BC26" i="9" s="1"/>
  <c r="AU26" i="9" a="1"/>
  <c r="AU26" i="9" s="1"/>
  <c r="AM26" i="9" a="1"/>
  <c r="AM26" i="9" s="1"/>
  <c r="AE26" i="9" a="1"/>
  <c r="AE26" i="9" s="1"/>
  <c r="W26" i="9" a="1"/>
  <c r="W26" i="9" s="1"/>
  <c r="O26" i="9" a="1"/>
  <c r="O26" i="9" s="1"/>
  <c r="G26" i="9" a="1"/>
  <c r="G26"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31" i="14"/>
  <c r="D126" i="14"/>
  <c r="D122" i="14"/>
  <c r="D118" i="14"/>
  <c r="D114" i="14"/>
  <c r="D110" i="14"/>
  <c r="D106" i="14"/>
  <c r="D164" i="14"/>
  <c r="D160" i="14"/>
  <c r="D156" i="14"/>
  <c r="D152" i="14"/>
  <c r="D148" i="14"/>
  <c r="D144" i="14"/>
  <c r="D140" i="14"/>
  <c r="D203" i="14"/>
  <c r="D195" i="14"/>
  <c r="D187" i="14"/>
  <c r="D179" i="14"/>
  <c r="D232" i="14"/>
  <c r="D229" i="14"/>
  <c r="D221" i="14"/>
  <c r="D275" i="14"/>
  <c r="D267" i="14"/>
  <c r="D259" i="14"/>
  <c r="D391" i="14"/>
  <c r="D384" i="14"/>
  <c r="D380" i="14"/>
  <c r="D377" i="14"/>
  <c r="D413" i="14"/>
  <c r="D465" i="14"/>
  <c r="D457" i="14"/>
  <c r="D449" i="14"/>
  <c r="D482" i="14"/>
  <c r="D544" i="14"/>
  <c r="D536" i="14"/>
  <c r="D528" i="14"/>
  <c r="D520" i="14"/>
  <c r="D558" i="14"/>
  <c r="D620" i="14"/>
  <c r="D612" i="14"/>
  <c r="D604" i="14"/>
  <c r="D596" i="14"/>
  <c r="D684" i="14"/>
  <c r="D676" i="14"/>
  <c r="D734" i="14"/>
  <c r="D731" i="14"/>
  <c r="D723" i="14"/>
  <c r="D715" i="14"/>
  <c r="D1116" i="22"/>
  <c r="CO25" i="9" a="1"/>
  <c r="CO25" i="9" s="1"/>
  <c r="CK25" i="9" a="1"/>
  <c r="CK25" i="9" s="1"/>
  <c r="CF25" i="9" a="1"/>
  <c r="CF25" i="9" s="1"/>
  <c r="CB25" i="9" a="1"/>
  <c r="CB25" i="9" s="1"/>
  <c r="BX25" i="9" a="1"/>
  <c r="BX25" i="9" s="1"/>
  <c r="BT25" i="9" a="1"/>
  <c r="BT25" i="9" s="1"/>
  <c r="BP25" i="9" a="1"/>
  <c r="BP25" i="9" s="1"/>
  <c r="BL25" i="9" a="1"/>
  <c r="BL25" i="9" s="1"/>
  <c r="BH25" i="9" a="1"/>
  <c r="BH25" i="9" s="1"/>
  <c r="BD25" i="9" a="1"/>
  <c r="BD25" i="9" s="1"/>
  <c r="AZ25" i="9" a="1"/>
  <c r="AZ25" i="9" s="1"/>
  <c r="AV25" i="9" a="1"/>
  <c r="AV25" i="9" s="1"/>
  <c r="AR25" i="9" a="1"/>
  <c r="AR25" i="9" s="1"/>
  <c r="AN25" i="9" a="1"/>
  <c r="AN25" i="9" s="1"/>
  <c r="AJ25" i="9" a="1"/>
  <c r="AJ25" i="9" s="1"/>
  <c r="AF25" i="9" a="1"/>
  <c r="AF25" i="9" s="1"/>
  <c r="AB25" i="9" a="1"/>
  <c r="AB25" i="9" s="1"/>
  <c r="X25" i="9" a="1"/>
  <c r="X25" i="9" s="1"/>
  <c r="T25" i="9" a="1"/>
  <c r="T25" i="9" s="1"/>
  <c r="P25" i="9" a="1"/>
  <c r="P25" i="9" s="1"/>
  <c r="L25" i="9" a="1"/>
  <c r="L25" i="9" s="1"/>
  <c r="H25" i="9" a="1"/>
  <c r="H25" i="9" s="1"/>
  <c r="CR25" i="9" a="1"/>
  <c r="CR25" i="9" s="1"/>
  <c r="CN25" i="9" a="1"/>
  <c r="CN25" i="9" s="1"/>
  <c r="CJ25" i="9" a="1"/>
  <c r="CJ25" i="9" s="1"/>
  <c r="CE25" i="9" a="1"/>
  <c r="CE25" i="9" s="1"/>
  <c r="CA25" i="9" a="1"/>
  <c r="CA25" i="9" s="1"/>
  <c r="BW25" i="9" a="1"/>
  <c r="BW25" i="9" s="1"/>
  <c r="BS25" i="9" a="1"/>
  <c r="BS25" i="9" s="1"/>
  <c r="BO25" i="9" a="1"/>
  <c r="BO25" i="9" s="1"/>
  <c r="BK25" i="9" a="1"/>
  <c r="BK25" i="9" s="1"/>
  <c r="BG25" i="9" a="1"/>
  <c r="BG25" i="9" s="1"/>
  <c r="BC25" i="9" a="1"/>
  <c r="BC25" i="9" s="1"/>
  <c r="AY25" i="9" a="1"/>
  <c r="AY25" i="9" s="1"/>
  <c r="AU25" i="9" a="1"/>
  <c r="AU25" i="9" s="1"/>
  <c r="AQ25" i="9" a="1"/>
  <c r="AQ25" i="9" s="1"/>
  <c r="AM25" i="9" a="1"/>
  <c r="AM25" i="9" s="1"/>
  <c r="AI25" i="9" a="1"/>
  <c r="AI25" i="9" s="1"/>
  <c r="AE25" i="9" a="1"/>
  <c r="AE25" i="9" s="1"/>
  <c r="AA25" i="9" a="1"/>
  <c r="AA25" i="9" s="1"/>
  <c r="W25" i="9" a="1"/>
  <c r="W25" i="9" s="1"/>
  <c r="S25" i="9" a="1"/>
  <c r="S25" i="9" s="1"/>
  <c r="O25" i="9" a="1"/>
  <c r="O25" i="9" s="1"/>
  <c r="K25" i="9" a="1"/>
  <c r="K25" i="9" s="1"/>
  <c r="G25" i="9" a="1"/>
  <c r="G25" i="9" s="1"/>
  <c r="CL25" i="9" a="1"/>
  <c r="CL25" i="9" s="1"/>
  <c r="CC25" i="9" a="1"/>
  <c r="CC25" i="9" s="1"/>
  <c r="BU25" i="9" a="1"/>
  <c r="BU25" i="9" s="1"/>
  <c r="BM25" i="9" a="1"/>
  <c r="BM25" i="9" s="1"/>
  <c r="BE25" i="9" a="1"/>
  <c r="BE25" i="9" s="1"/>
  <c r="AW25" i="9" a="1"/>
  <c r="AW25" i="9" s="1"/>
  <c r="AO25" i="9" a="1"/>
  <c r="AO25" i="9" s="1"/>
  <c r="AG25" i="9" a="1"/>
  <c r="AG25" i="9" s="1"/>
  <c r="Y25" i="9" a="1"/>
  <c r="Y25" i="9" s="1"/>
  <c r="Q25" i="9" a="1"/>
  <c r="Q25" i="9" s="1"/>
  <c r="I25" i="9" a="1"/>
  <c r="I25" i="9" s="1"/>
  <c r="CQ25" i="9" a="1"/>
  <c r="CQ25" i="9" s="1"/>
  <c r="CI25" i="9" a="1"/>
  <c r="CI25" i="9" s="1"/>
  <c r="BZ25" i="9" a="1"/>
  <c r="BZ25" i="9" s="1"/>
  <c r="BR25" i="9" a="1"/>
  <c r="BR25" i="9" s="1"/>
  <c r="BJ25" i="9" a="1"/>
  <c r="BJ25" i="9" s="1"/>
  <c r="BB25" i="9" a="1"/>
  <c r="BB25" i="9" s="1"/>
  <c r="AT25" i="9" a="1"/>
  <c r="AT25" i="9" s="1"/>
  <c r="AL25" i="9" a="1"/>
  <c r="AL25" i="9" s="1"/>
  <c r="AD25" i="9" a="1"/>
  <c r="AD25" i="9" s="1"/>
  <c r="V25" i="9" a="1"/>
  <c r="V25" i="9" s="1"/>
  <c r="N25" i="9" a="1"/>
  <c r="N25" i="9" s="1"/>
  <c r="F25" i="9" a="1"/>
  <c r="F25" i="9" s="1"/>
  <c r="CP25" i="9" a="1"/>
  <c r="CP25" i="9" s="1"/>
  <c r="CH25" i="9" a="1"/>
  <c r="CH25" i="9" s="1"/>
  <c r="BY25" i="9" a="1"/>
  <c r="BY25" i="9" s="1"/>
  <c r="BQ25" i="9" a="1"/>
  <c r="BQ25" i="9" s="1"/>
  <c r="BI25" i="9" a="1"/>
  <c r="BI25" i="9" s="1"/>
  <c r="BA25" i="9" a="1"/>
  <c r="BA25" i="9" s="1"/>
  <c r="AS25" i="9" a="1"/>
  <c r="AS25" i="9" s="1"/>
  <c r="AK25" i="9" a="1"/>
  <c r="AK25" i="9" s="1"/>
  <c r="AC25" i="9" a="1"/>
  <c r="AC25" i="9" s="1"/>
  <c r="U25" i="9" a="1"/>
  <c r="U25" i="9" s="1"/>
  <c r="M25" i="9" a="1"/>
  <c r="M25" i="9" s="1"/>
  <c r="E25" i="9" a="1"/>
  <c r="E25" i="9" s="1"/>
  <c r="CM25" i="9" a="1"/>
  <c r="CM25" i="9" s="1"/>
  <c r="CD25" i="9" a="1"/>
  <c r="CD25" i="9" s="1"/>
  <c r="BV25" i="9" a="1"/>
  <c r="BV25" i="9" s="1"/>
  <c r="BN25" i="9" a="1"/>
  <c r="BN25" i="9" s="1"/>
  <c r="BF25" i="9" a="1"/>
  <c r="BF25" i="9" s="1"/>
  <c r="AX25" i="9" a="1"/>
  <c r="AX25" i="9" s="1"/>
  <c r="AP25" i="9" a="1"/>
  <c r="AP25" i="9" s="1"/>
  <c r="AH25" i="9" a="1"/>
  <c r="AH25" i="9" s="1"/>
  <c r="Z25" i="9" a="1"/>
  <c r="Z25" i="9" s="1"/>
  <c r="R25" i="9" a="1"/>
  <c r="R25" i="9" s="1"/>
  <c r="J25" i="9" a="1"/>
  <c r="J25" i="9" s="1"/>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64" i="14"/>
  <c r="D103" i="14"/>
  <c r="D202" i="14"/>
  <c r="D194" i="14"/>
  <c r="D186" i="14"/>
  <c r="D178" i="14"/>
  <c r="D228" i="14"/>
  <c r="D220" i="14"/>
  <c r="D274" i="14"/>
  <c r="D266" i="14"/>
  <c r="D258" i="14"/>
  <c r="D319" i="14"/>
  <c r="D316" i="14"/>
  <c r="D315" i="14"/>
  <c r="D312" i="14"/>
  <c r="D311" i="14"/>
  <c r="D308" i="14"/>
  <c r="D307" i="14"/>
  <c r="D304" i="14"/>
  <c r="D303" i="14"/>
  <c r="D300" i="14"/>
  <c r="D299" i="14"/>
  <c r="D296" i="14"/>
  <c r="D295" i="14"/>
  <c r="D293" i="14"/>
  <c r="D392" i="14"/>
  <c r="D376" i="14"/>
  <c r="D430" i="14"/>
  <c r="D426" i="14"/>
  <c r="D422" i="14"/>
  <c r="D418" i="14"/>
  <c r="D414" i="14"/>
  <c r="D464" i="14"/>
  <c r="D525" i="14"/>
  <c r="D617" i="14"/>
  <c r="D609" i="14"/>
  <c r="D601" i="14"/>
  <c r="D637" i="14"/>
  <c r="D681" i="14"/>
  <c r="D672" i="14"/>
  <c r="D730" i="14"/>
  <c r="D722" i="14"/>
  <c r="D714" i="14"/>
  <c r="D1420" i="22"/>
  <c r="D46" i="21"/>
  <c r="D59" i="21"/>
  <c r="D145" i="21"/>
  <c r="D161" i="21"/>
  <c r="D180" i="21"/>
  <c r="D39" i="22"/>
  <c r="D31" i="22"/>
  <c r="D85" i="22"/>
  <c r="D77" i="22"/>
  <c r="D122" i="22"/>
  <c r="D114" i="22"/>
  <c r="D113" i="22"/>
  <c r="D111" i="22"/>
  <c r="D102" i="22"/>
  <c r="D160" i="22"/>
  <c r="D152" i="22"/>
  <c r="D144" i="22"/>
  <c r="D202" i="22"/>
  <c r="D198" i="22"/>
  <c r="D194" i="22"/>
  <c r="D190" i="22"/>
  <c r="D186" i="22"/>
  <c r="D178" i="22"/>
  <c r="D240" i="22"/>
  <c r="D232" i="22"/>
  <c r="D224" i="22"/>
  <c r="D216" i="22"/>
  <c r="D313" i="22"/>
  <c r="D305" i="22"/>
  <c r="D297" i="22"/>
  <c r="D395" i="22"/>
  <c r="D392" i="22"/>
  <c r="D391" i="22"/>
  <c r="D388" i="22"/>
  <c r="D387" i="22"/>
  <c r="D384" i="22"/>
  <c r="D383" i="22"/>
  <c r="D380" i="22"/>
  <c r="D379" i="22"/>
  <c r="D376" i="22"/>
  <c r="D431" i="22"/>
  <c r="D427" i="22"/>
  <c r="D423" i="22"/>
  <c r="D419" i="22"/>
  <c r="D415" i="22"/>
  <c r="D411" i="22"/>
  <c r="D407" i="22"/>
  <c r="D469" i="22"/>
  <c r="D449" i="22"/>
  <c r="D509" i="22"/>
  <c r="D506" i="22"/>
  <c r="D505" i="22"/>
  <c r="D502" i="22"/>
  <c r="D501" i="22"/>
  <c r="D498" i="22"/>
  <c r="D490" i="22"/>
  <c r="D482" i="22"/>
  <c r="D525" i="22"/>
  <c r="D558" i="22"/>
  <c r="D620" i="22"/>
  <c r="D612" i="22"/>
  <c r="D604" i="22"/>
  <c r="D654" i="22"/>
  <c r="D646" i="22"/>
  <c r="D638" i="22"/>
  <c r="D692" i="22"/>
  <c r="D684" i="22"/>
  <c r="D676" i="22"/>
  <c r="D730" i="22"/>
  <c r="D722" i="22"/>
  <c r="D714" i="22"/>
  <c r="D772" i="22"/>
  <c r="D749" i="22"/>
  <c r="D811" i="22"/>
  <c r="D809" i="22"/>
  <c r="D799" i="22"/>
  <c r="D791" i="22"/>
  <c r="D887" i="22"/>
  <c r="D879" i="22"/>
  <c r="D871" i="22"/>
  <c r="D863"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05" i="22"/>
  <c r="D1295" i="22"/>
  <c r="D1289" i="22"/>
  <c r="D1281" i="22"/>
  <c r="D1338" i="22"/>
  <c r="D1334" i="22"/>
  <c r="D1330" i="22"/>
  <c r="D1326" i="22"/>
  <c r="D1322" i="22"/>
  <c r="D1318" i="22"/>
  <c r="D1360" i="22"/>
  <c r="D1356" i="22"/>
  <c r="D1436" i="22"/>
  <c r="D1490" i="22"/>
  <c r="D1482" i="22"/>
  <c r="D1532" i="22"/>
  <c r="D1528" i="22"/>
  <c r="D1524" i="22"/>
  <c r="D1520" i="22"/>
  <c r="D1517" i="22"/>
  <c r="D1509" i="22"/>
  <c r="D1555" i="22"/>
  <c r="D1546" i="22"/>
  <c r="D1544" i="22"/>
  <c r="D1588" i="22"/>
  <c r="D1646" i="22"/>
  <c r="D1642" i="22"/>
  <c r="D1638" i="22"/>
  <c r="D1634" i="22"/>
  <c r="D1630" i="22"/>
  <c r="D1626" i="22"/>
  <c r="D1677" i="22"/>
  <c r="D1669" i="22"/>
  <c r="D1660" i="22"/>
  <c r="D1756" i="22"/>
  <c r="D1745" i="22"/>
  <c r="D1737" i="22"/>
  <c r="D1790" i="22"/>
  <c r="D1789" i="22"/>
  <c r="D1786" i="22"/>
  <c r="D1785" i="22"/>
  <c r="D1782" i="22"/>
  <c r="D1781" i="22"/>
  <c r="D1779" i="22"/>
  <c r="D1838" i="22"/>
  <c r="D1837" i="22"/>
  <c r="D1834" i="22"/>
  <c r="D1833" i="22"/>
  <c r="D1830" i="22"/>
  <c r="D1829" i="22"/>
  <c r="D1826" i="22"/>
  <c r="D1825" i="22"/>
  <c r="D1822" i="22"/>
  <c r="D1821" i="22"/>
  <c r="D1818" i="22"/>
  <c r="D1817" i="22"/>
  <c r="D1814" i="22"/>
  <c r="D1813" i="22"/>
  <c r="D1874" i="22"/>
  <c r="D1872" i="22"/>
  <c r="D1866" i="22"/>
  <c r="D1858" i="22"/>
  <c r="D1850" i="22"/>
  <c r="D38" i="22"/>
  <c r="D30" i="22"/>
  <c r="D84" i="22"/>
  <c r="D76" i="22"/>
  <c r="D72" i="22"/>
  <c r="D68" i="22"/>
  <c r="D64" i="22"/>
  <c r="D119" i="22"/>
  <c r="D110" i="22"/>
  <c r="D163" i="22"/>
  <c r="D157" i="22"/>
  <c r="D149" i="22"/>
  <c r="D141" i="22"/>
  <c r="D183" i="22"/>
  <c r="D237" i="22"/>
  <c r="D229" i="22"/>
  <c r="D221" i="22"/>
  <c r="D312" i="22"/>
  <c r="D304" i="22"/>
  <c r="D296" i="22"/>
  <c r="D354" i="22"/>
  <c r="D350" i="22"/>
  <c r="D346" i="22"/>
  <c r="D342" i="22"/>
  <c r="D338" i="22"/>
  <c r="D334" i="22"/>
  <c r="D330" i="22"/>
  <c r="D373" i="22"/>
  <c r="D430" i="22"/>
  <c r="D426" i="22"/>
  <c r="D422" i="22"/>
  <c r="D418" i="22"/>
  <c r="D414" i="22"/>
  <c r="D410" i="22"/>
  <c r="D406" i="22"/>
  <c r="D468" i="22"/>
  <c r="D448" i="22"/>
  <c r="D495" i="22"/>
  <c r="D487" i="22"/>
  <c r="D531" i="22"/>
  <c r="D524" i="22"/>
  <c r="D582" i="22"/>
  <c r="D578" i="22"/>
  <c r="D574" i="22"/>
  <c r="D570" i="22"/>
  <c r="D566" i="22"/>
  <c r="D617" i="22"/>
  <c r="D609" i="22"/>
  <c r="D600" i="22"/>
  <c r="D597" i="22"/>
  <c r="D659" i="22"/>
  <c r="D651" i="22"/>
  <c r="D643" i="22"/>
  <c r="D635" i="22"/>
  <c r="D697" i="22"/>
  <c r="D689" i="22"/>
  <c r="D681" i="22"/>
  <c r="D673" i="22"/>
  <c r="D735" i="22"/>
  <c r="D727" i="22"/>
  <c r="D719" i="22"/>
  <c r="D711" i="22"/>
  <c r="D769" i="22"/>
  <c r="D748" i="22"/>
  <c r="D810" i="22"/>
  <c r="D798" i="22"/>
  <c r="D790" i="22"/>
  <c r="D851" i="22"/>
  <c r="D848" i="22"/>
  <c r="D847" i="22"/>
  <c r="D844" i="22"/>
  <c r="D843" i="22"/>
  <c r="D840" i="22"/>
  <c r="D839" i="22"/>
  <c r="D836" i="22"/>
  <c r="D835" i="22"/>
  <c r="D832" i="22"/>
  <c r="D831" i="22"/>
  <c r="D828" i="22"/>
  <c r="D827" i="22"/>
  <c r="D824" i="22"/>
  <c r="D886" i="22"/>
  <c r="D878" i="22"/>
  <c r="D870" i="22"/>
  <c r="D862" i="22"/>
  <c r="D901" i="22"/>
  <c r="D939" i="22"/>
  <c r="D1001" i="22"/>
  <c r="D988" i="22"/>
  <c r="D1038" i="22"/>
  <c r="D1034" i="22"/>
  <c r="D1030" i="22"/>
  <c r="D1026" i="22"/>
  <c r="D1022" i="22"/>
  <c r="D1018" i="22"/>
  <c r="D1013" i="22"/>
  <c r="D1064" i="22"/>
  <c r="D1060" i="22"/>
  <c r="D1056" i="22"/>
  <c r="D1052" i="22"/>
  <c r="D1111" i="22"/>
  <c r="D1095" i="22"/>
  <c r="D1228" i="22"/>
  <c r="D1220" i="22"/>
  <c r="D1216" i="22"/>
  <c r="D1212" i="22"/>
  <c r="D1204" i="22"/>
  <c r="D1304" i="22"/>
  <c r="D1300" i="22"/>
  <c r="D1296" i="22"/>
  <c r="D1288" i="22"/>
  <c r="D1280" i="22"/>
  <c r="D1418" i="22"/>
  <c r="D1410" i="22"/>
  <c r="D1439" i="22"/>
  <c r="D1433" i="22"/>
  <c r="D1495" i="22"/>
  <c r="D1487" i="22"/>
  <c r="D1478" i="22"/>
  <c r="D1474" i="22"/>
  <c r="D1471" i="22"/>
  <c r="D1516" i="22"/>
  <c r="D1515" i="22"/>
  <c r="D1514" i="22"/>
  <c r="D1508" i="22"/>
  <c r="D1507" i="22"/>
  <c r="D1554" i="22"/>
  <c r="D1551" i="22"/>
  <c r="D1610" i="22"/>
  <c r="D1609" i="22"/>
  <c r="D1606" i="22"/>
  <c r="D1605" i="22"/>
  <c r="D1602" i="22"/>
  <c r="D1601" i="22"/>
  <c r="D1598" i="22"/>
  <c r="D1597" i="22"/>
  <c r="D1594" i="22"/>
  <c r="D1593" i="22"/>
  <c r="D1585" i="22"/>
  <c r="D1623" i="22"/>
  <c r="D1684" i="22"/>
  <c r="D1676" i="22"/>
  <c r="D1674" i="22"/>
  <c r="D1668" i="22"/>
  <c r="D1667" i="22"/>
  <c r="D1666" i="22"/>
  <c r="D1697" i="22"/>
  <c r="D1761" i="22"/>
  <c r="D1753" i="22"/>
  <c r="D1751" i="22"/>
  <c r="D1744" i="22"/>
  <c r="D1736" i="22"/>
  <c r="D1778" i="22"/>
  <c r="D1839" i="22"/>
  <c r="D1836" i="22"/>
  <c r="D1835" i="22"/>
  <c r="D1832" i="22"/>
  <c r="D1831" i="22"/>
  <c r="D1828" i="22"/>
  <c r="D1827" i="22"/>
  <c r="D1824" i="22"/>
  <c r="D1823" i="22"/>
  <c r="D1820" i="22"/>
  <c r="D1819" i="22"/>
  <c r="D1816" i="22"/>
  <c r="D1815" i="22"/>
  <c r="D1812"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27" i="22"/>
  <c r="D89" i="22"/>
  <c r="D81" i="22"/>
  <c r="D125" i="22"/>
  <c r="D118" i="22"/>
  <c r="D106" i="22"/>
  <c r="D167" i="22"/>
  <c r="D164" i="22"/>
  <c r="D156" i="22"/>
  <c r="D148" i="22"/>
  <c r="D140" i="22"/>
  <c r="D182" i="22"/>
  <c r="D236" i="22"/>
  <c r="D228" i="22"/>
  <c r="D220" i="22"/>
  <c r="D281" i="22"/>
  <c r="D278" i="22"/>
  <c r="D277" i="22"/>
  <c r="D274" i="22"/>
  <c r="D273" i="22"/>
  <c r="D270" i="22"/>
  <c r="D269" i="22"/>
  <c r="D266" i="22"/>
  <c r="D265" i="22"/>
  <c r="D262" i="22"/>
  <c r="D261" i="22"/>
  <c r="D258" i="22"/>
  <c r="D255" i="22"/>
  <c r="D317" i="22"/>
  <c r="D309" i="22"/>
  <c r="D301" i="22"/>
  <c r="D293" i="22"/>
  <c r="D372" i="22"/>
  <c r="D464" i="22"/>
  <c r="D463" i="22"/>
  <c r="D461" i="22"/>
  <c r="D457" i="22"/>
  <c r="D453" i="22"/>
  <c r="D451" i="22"/>
  <c r="D444" i="22"/>
  <c r="D494" i="22"/>
  <c r="D486" i="22"/>
  <c r="D544" i="22"/>
  <c r="D540" i="22"/>
  <c r="D536" i="22"/>
  <c r="D532" i="22"/>
  <c r="D521" i="22"/>
  <c r="D563" i="22"/>
  <c r="D616" i="22"/>
  <c r="D608" i="22"/>
  <c r="D596" i="22"/>
  <c r="D658" i="22"/>
  <c r="D650" i="22"/>
  <c r="D642" i="22"/>
  <c r="D634" i="22"/>
  <c r="D696" i="22"/>
  <c r="D688" i="22"/>
  <c r="D680" i="22"/>
  <c r="D672" i="22"/>
  <c r="D883" i="22"/>
  <c r="D875" i="22"/>
  <c r="D867" i="22"/>
  <c r="D900" i="22"/>
  <c r="D938" i="22"/>
  <c r="D975" i="22"/>
  <c r="D1014" i="22"/>
  <c r="D1107" i="22"/>
  <c r="D1091"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32" i="22"/>
  <c r="D1494" i="22"/>
  <c r="D1486" i="22"/>
  <c r="D1470" i="22"/>
  <c r="D1513" i="22"/>
  <c r="D1550" i="22"/>
  <c r="D1608" i="22"/>
  <c r="D1604" i="22"/>
  <c r="D1600" i="22"/>
  <c r="D1596" i="22"/>
  <c r="D1592" i="22"/>
  <c r="D1584" i="22"/>
  <c r="D1622" i="22"/>
  <c r="D1681" i="22"/>
  <c r="D1673" i="22"/>
  <c r="D1665" i="22"/>
  <c r="D1725" i="22"/>
  <c r="D1722" i="22"/>
  <c r="D1721" i="22"/>
  <c r="D1718" i="22"/>
  <c r="D1717" i="22"/>
  <c r="D1714" i="22"/>
  <c r="D1713" i="22"/>
  <c r="D1710" i="22"/>
  <c r="D1706" i="22"/>
  <c r="D1702" i="22"/>
  <c r="D1698" i="22"/>
  <c r="D1760" i="22"/>
  <c r="D1752" i="22"/>
  <c r="D1741" i="22"/>
  <c r="D1793" i="22"/>
  <c r="D1775"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786" i="22"/>
  <c r="D882" i="22"/>
  <c r="D874" i="22"/>
  <c r="D866" i="22"/>
  <c r="D924" i="22"/>
  <c r="D920" i="22"/>
  <c r="D916" i="22"/>
  <c r="D912" i="22"/>
  <c r="D908" i="22"/>
  <c r="D905" i="22"/>
  <c r="D996" i="22"/>
  <c r="D992" i="22"/>
  <c r="D984" i="22"/>
  <c r="D980" i="22"/>
  <c r="D976" i="22"/>
  <c r="D1076" i="22"/>
  <c r="D1112" i="22"/>
  <c r="D1106" i="22"/>
  <c r="D1103" i="22"/>
  <c r="D1096" i="22"/>
  <c r="D1090" i="22"/>
  <c r="D1152" i="22"/>
  <c r="D1148" i="22"/>
  <c r="D1144" i="22"/>
  <c r="D1140" i="22"/>
  <c r="D1136" i="22"/>
  <c r="D1132" i="22"/>
  <c r="D1128" i="22"/>
  <c r="D1190" i="22"/>
  <c r="D1186" i="22"/>
  <c r="D1182" i="22"/>
  <c r="D1178" i="22"/>
  <c r="D1174" i="22"/>
  <c r="D1170" i="22"/>
  <c r="D1166" i="22"/>
  <c r="D1224" i="22"/>
  <c r="D1208" i="22"/>
  <c r="D1266" i="22"/>
  <c r="D1262" i="22"/>
  <c r="D1258" i="22"/>
  <c r="D1254" i="22"/>
  <c r="D1250" i="22"/>
  <c r="D1246" i="22"/>
  <c r="D1242" i="22"/>
  <c r="D1589" i="22"/>
  <c r="D1680" i="22"/>
  <c r="D1757" i="22"/>
  <c r="D1748" i="22"/>
  <c r="D1740" i="22"/>
  <c r="D1851"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03" i="5"/>
  <c r="D111" i="5"/>
  <c r="D119" i="5"/>
  <c r="D127" i="5"/>
  <c r="D148" i="5"/>
  <c r="D155" i="5"/>
  <c r="D47" i="18"/>
  <c r="D66" i="18"/>
  <c r="D82" i="18"/>
  <c r="D103" i="18"/>
  <c r="D1671" i="21"/>
  <c r="D1679" i="21"/>
  <c r="D1687" i="21"/>
  <c r="D32" i="5"/>
  <c r="D33" i="18"/>
  <c r="D41" i="18"/>
  <c r="D49" i="18"/>
  <c r="D105" i="18"/>
  <c r="D113" i="18"/>
  <c r="D114" i="18"/>
  <c r="D129" i="18"/>
  <c r="D145" i="18"/>
  <c r="D153" i="18"/>
  <c r="D161" i="18"/>
  <c r="D180" i="18"/>
  <c r="D188" i="18"/>
  <c r="D196" i="18"/>
  <c r="D140" i="18"/>
  <c r="D148" i="18"/>
  <c r="D156" i="18"/>
  <c r="D164" i="18"/>
  <c r="D183" i="18"/>
  <c r="D191" i="18"/>
  <c r="D199" i="18"/>
  <c r="D200" i="18"/>
  <c r="D192" i="18"/>
  <c r="D203" i="18"/>
  <c r="D204" i="18"/>
  <c r="D29" i="18"/>
  <c r="D30" i="18"/>
  <c r="D118" i="18"/>
  <c r="D122" i="18"/>
  <c r="D126" i="18"/>
  <c r="D144" i="18"/>
  <c r="D152" i="18"/>
  <c r="D160" i="18"/>
  <c r="D179" i="18"/>
  <c r="D187" i="18"/>
  <c r="D195" i="18"/>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52" i="22"/>
  <c r="D1865" i="22"/>
  <c r="D1864" i="22"/>
  <c r="D1857" i="22"/>
  <c r="D1856" i="22"/>
  <c r="D1849" i="22"/>
  <c r="D1848" i="22"/>
  <c r="D1777" i="22"/>
  <c r="D1776" i="22"/>
  <c r="D1800" i="22"/>
  <c r="D1799" i="22"/>
  <c r="D1796" i="22"/>
  <c r="D1795" i="22"/>
  <c r="D1747" i="22"/>
  <c r="D1746" i="22"/>
  <c r="D1739" i="22"/>
  <c r="D1738" i="22"/>
  <c r="D1763" i="22"/>
  <c r="D1762" i="22"/>
  <c r="D1755" i="22"/>
  <c r="D1754" i="22"/>
  <c r="D1724" i="22"/>
  <c r="D1723" i="22"/>
  <c r="D1720" i="22"/>
  <c r="D1719" i="22"/>
  <c r="D1716" i="22"/>
  <c r="D1715" i="22"/>
  <c r="D1712" i="22"/>
  <c r="D1711" i="22"/>
  <c r="D1708" i="22"/>
  <c r="D1707" i="22"/>
  <c r="D1704" i="22"/>
  <c r="D1703" i="22"/>
  <c r="D1700" i="22"/>
  <c r="D1699" i="22"/>
  <c r="D1709" i="22"/>
  <c r="D1705" i="22"/>
  <c r="D1701" i="22"/>
  <c r="D1662" i="22"/>
  <c r="D1679" i="22"/>
  <c r="D1678" i="22"/>
  <c r="D1671" i="22"/>
  <c r="D1670" i="22"/>
  <c r="D1663" i="22"/>
  <c r="D1686" i="22"/>
  <c r="D1685" i="22"/>
  <c r="D1659" i="22"/>
  <c r="D1658" i="22"/>
  <c r="D1649" i="22"/>
  <c r="D1645" i="22"/>
  <c r="D1641" i="22"/>
  <c r="D1637" i="22"/>
  <c r="D1633" i="22"/>
  <c r="D1629" i="22"/>
  <c r="D1625" i="22"/>
  <c r="D1624" i="22"/>
  <c r="D1621" i="22"/>
  <c r="D1620" i="22"/>
  <c r="D1587" i="22"/>
  <c r="D1586" i="22"/>
  <c r="D1611" i="22"/>
  <c r="D1607" i="22"/>
  <c r="D1603" i="22"/>
  <c r="D1599" i="22"/>
  <c r="D1595" i="22"/>
  <c r="D1591" i="22"/>
  <c r="D1590" i="22"/>
  <c r="D1583" i="22"/>
  <c r="D1572" i="22"/>
  <c r="D1571" i="22"/>
  <c r="D1568" i="22"/>
  <c r="D1567" i="22"/>
  <c r="D1564" i="22"/>
  <c r="D1563" i="22"/>
  <c r="D1560" i="22"/>
  <c r="D1559" i="22"/>
  <c r="D1549" i="22"/>
  <c r="D1548" i="22"/>
  <c r="D1573" i="22"/>
  <c r="D1569" i="22"/>
  <c r="D1565" i="22"/>
  <c r="D1561" i="22"/>
  <c r="D1557" i="22"/>
  <c r="D1556" i="22"/>
  <c r="D1534" i="22"/>
  <c r="D1533" i="22"/>
  <c r="D1530" i="22"/>
  <c r="D1529" i="22"/>
  <c r="D1526" i="22"/>
  <c r="D1525" i="22"/>
  <c r="D1522" i="22"/>
  <c r="D1521" i="22"/>
  <c r="D1518" i="22"/>
  <c r="D1511" i="22"/>
  <c r="D1510" i="22"/>
  <c r="D1535" i="22"/>
  <c r="D1531" i="22"/>
  <c r="D1527" i="22"/>
  <c r="D1523" i="22"/>
  <c r="D1519" i="22"/>
  <c r="D1506" i="22"/>
  <c r="D1497" i="22"/>
  <c r="D1496" i="22"/>
  <c r="D1489" i="22"/>
  <c r="D1488" i="22"/>
  <c r="D1481" i="22"/>
  <c r="D1480" i="22"/>
  <c r="D1479" i="22"/>
  <c r="D1476" i="22"/>
  <c r="D1475" i="22"/>
  <c r="D1472" i="22"/>
  <c r="D1477" i="22"/>
  <c r="D1473" i="22"/>
  <c r="D1485" i="22"/>
  <c r="D1484" i="22"/>
  <c r="D1435" i="22"/>
  <c r="D1434" i="22"/>
  <c r="D1459" i="22"/>
  <c r="D1455" i="22"/>
  <c r="D1451" i="22"/>
  <c r="D1447" i="22"/>
  <c r="D1443" i="22"/>
  <c r="D1438" i="22"/>
  <c r="D1431" i="22"/>
  <c r="D1430" i="22"/>
  <c r="D1417" i="22"/>
  <c r="D1409" i="22"/>
  <c r="D1404" i="22"/>
  <c r="D1400" i="22"/>
  <c r="D1396" i="22"/>
  <c r="D1392" i="22"/>
  <c r="D1421" i="22"/>
  <c r="D1413" i="22"/>
  <c r="D1359" i="22"/>
  <c r="D1355" i="22"/>
  <c r="D1382" i="22"/>
  <c r="D1378" i="22"/>
  <c r="D1374" i="22"/>
  <c r="D1370" i="22"/>
  <c r="D1366" i="22"/>
  <c r="D1344" i="22"/>
  <c r="D1343" i="22"/>
  <c r="D1340" i="22"/>
  <c r="D1337" i="22"/>
  <c r="D1333" i="22"/>
  <c r="D1329" i="22"/>
  <c r="D1325" i="22"/>
  <c r="D1321" i="22"/>
  <c r="D1317" i="22"/>
  <c r="D1316" i="22"/>
  <c r="D1291" i="22"/>
  <c r="D1290" i="22"/>
  <c r="D1283" i="22"/>
  <c r="D1282" i="22"/>
  <c r="D1306" i="22"/>
  <c r="D1305" i="22"/>
  <c r="D1302" i="22"/>
  <c r="D1301" i="22"/>
  <c r="D1298" i="22"/>
  <c r="D1297" i="22"/>
  <c r="D1268" i="22"/>
  <c r="D1267" i="22"/>
  <c r="D1264" i="22"/>
  <c r="D1263" i="22"/>
  <c r="D1260" i="22"/>
  <c r="D1259" i="22"/>
  <c r="D1256" i="22"/>
  <c r="D1255" i="22"/>
  <c r="D1252" i="22"/>
  <c r="D1251" i="22"/>
  <c r="D1248" i="22"/>
  <c r="D1247" i="22"/>
  <c r="D1244" i="22"/>
  <c r="D1243" i="22"/>
  <c r="D1241" i="22"/>
  <c r="D1240" i="22"/>
  <c r="D1231" i="22"/>
  <c r="D1230" i="22"/>
  <c r="D1222" i="22"/>
  <c r="D1207" i="22"/>
  <c r="D1206" i="22"/>
  <c r="D1218" i="22"/>
  <c r="D1217" i="22"/>
  <c r="D1214" i="22"/>
  <c r="D1213" i="22"/>
  <c r="D1227" i="22"/>
  <c r="D1226" i="22"/>
  <c r="D1219" i="22"/>
  <c r="D1215" i="22"/>
  <c r="D1210" i="22"/>
  <c r="D1203" i="22"/>
  <c r="D1202" i="22"/>
  <c r="D1193" i="22"/>
  <c r="D1189" i="22"/>
  <c r="D1185" i="22"/>
  <c r="D1181" i="22"/>
  <c r="D1177" i="22"/>
  <c r="D1173" i="22"/>
  <c r="D1169" i="22"/>
  <c r="D1165" i="22"/>
  <c r="D1155" i="22"/>
  <c r="D1151" i="22"/>
  <c r="D1147" i="22"/>
  <c r="D1143" i="22"/>
  <c r="D1139" i="22"/>
  <c r="D1135" i="22"/>
  <c r="D1131" i="22"/>
  <c r="D1127" i="22"/>
  <c r="D1109" i="22"/>
  <c r="D1093" i="22"/>
  <c r="D1105" i="22"/>
  <c r="D1089" i="22"/>
  <c r="D1088" i="22"/>
  <c r="D1101" i="22"/>
  <c r="D1063" i="22"/>
  <c r="D1061" i="22"/>
  <c r="D1059" i="22"/>
  <c r="D1057" i="22"/>
  <c r="D1055" i="22"/>
  <c r="D1053" i="22"/>
  <c r="D1051" i="22"/>
  <c r="D1078" i="22"/>
  <c r="D1074" i="22"/>
  <c r="D1079" i="22"/>
  <c r="D1077" i="22"/>
  <c r="D1075" i="22"/>
  <c r="D1073" i="22"/>
  <c r="D1070" i="22"/>
  <c r="D1066" i="22"/>
  <c r="D1041" i="22"/>
  <c r="D1037" i="22"/>
  <c r="D1033" i="22"/>
  <c r="D1029" i="22"/>
  <c r="D1025" i="22"/>
  <c r="D1021" i="22"/>
  <c r="D1016" i="22"/>
  <c r="D1015" i="22"/>
  <c r="D987" i="22"/>
  <c r="D986" i="22"/>
  <c r="D995" i="22"/>
  <c r="D991" i="22"/>
  <c r="D990" i="22"/>
  <c r="D983" i="22"/>
  <c r="D979" i="22"/>
  <c r="D974" i="22"/>
  <c r="D965" i="22"/>
  <c r="D961" i="22"/>
  <c r="D957" i="22"/>
  <c r="D953" i="22"/>
  <c r="D949" i="22"/>
  <c r="D945" i="22"/>
  <c r="D941" i="22"/>
  <c r="D940" i="22"/>
  <c r="D936" i="22"/>
  <c r="D903" i="22"/>
  <c r="D902" i="22"/>
  <c r="D898" i="22"/>
  <c r="D889" i="22"/>
  <c r="D888" i="22"/>
  <c r="D881" i="22"/>
  <c r="D880" i="22"/>
  <c r="D873" i="22"/>
  <c r="D872" i="22"/>
  <c r="D865" i="22"/>
  <c r="D864" i="22"/>
  <c r="D850" i="22"/>
  <c r="D849" i="22"/>
  <c r="D846" i="22"/>
  <c r="D845" i="22"/>
  <c r="D842" i="22"/>
  <c r="D841" i="22"/>
  <c r="D838" i="22"/>
  <c r="D837" i="22"/>
  <c r="D834" i="22"/>
  <c r="D833" i="22"/>
  <c r="D830" i="22"/>
  <c r="D829" i="22"/>
  <c r="D826" i="22"/>
  <c r="D825" i="22"/>
  <c r="D808" i="22"/>
  <c r="D797" i="22"/>
  <c r="D796" i="22"/>
  <c r="D789" i="22"/>
  <c r="D788" i="22"/>
  <c r="D804" i="22"/>
  <c r="D803" i="22"/>
  <c r="D785" i="22"/>
  <c r="D784" i="22"/>
  <c r="D774" i="22"/>
  <c r="D773" i="22"/>
  <c r="D763" i="22"/>
  <c r="D759" i="22"/>
  <c r="D755" i="22"/>
  <c r="D751" i="22"/>
  <c r="D750" i="22"/>
  <c r="D775" i="22"/>
  <c r="D770" i="22"/>
  <c r="D746" i="22"/>
  <c r="D737" i="22"/>
  <c r="D736" i="22"/>
  <c r="D729" i="22"/>
  <c r="D728" i="22"/>
  <c r="D721" i="22"/>
  <c r="D720" i="22"/>
  <c r="D713" i="22"/>
  <c r="D712" i="22"/>
  <c r="D699" i="22"/>
  <c r="D698" i="22"/>
  <c r="D691" i="22"/>
  <c r="D690" i="22"/>
  <c r="D683" i="22"/>
  <c r="D682" i="22"/>
  <c r="D675" i="22"/>
  <c r="D674" i="22"/>
  <c r="D695" i="22"/>
  <c r="D694" i="22"/>
  <c r="D687" i="22"/>
  <c r="D686" i="22"/>
  <c r="D679" i="22"/>
  <c r="D678" i="22"/>
  <c r="D671" i="22"/>
  <c r="D670" i="22"/>
  <c r="D661" i="22"/>
  <c r="D660" i="22"/>
  <c r="D653" i="22"/>
  <c r="D652" i="22"/>
  <c r="D645" i="22"/>
  <c r="D644" i="22"/>
  <c r="D637" i="22"/>
  <c r="D636" i="22"/>
  <c r="D619" i="22"/>
  <c r="D618" i="22"/>
  <c r="D611" i="22"/>
  <c r="D610" i="22"/>
  <c r="D603" i="22"/>
  <c r="D602" i="22"/>
  <c r="D601" i="22"/>
  <c r="D598" i="22"/>
  <c r="D599" i="22"/>
  <c r="D623" i="22"/>
  <c r="D622" i="22"/>
  <c r="D615" i="22"/>
  <c r="D614" i="22"/>
  <c r="D607" i="22"/>
  <c r="D606" i="22"/>
  <c r="D595" i="22"/>
  <c r="D594" i="22"/>
  <c r="D560" i="22"/>
  <c r="D584" i="22"/>
  <c r="D583" i="22"/>
  <c r="D580" i="22"/>
  <c r="D579" i="22"/>
  <c r="D576" i="22"/>
  <c r="D575" i="22"/>
  <c r="D572" i="22"/>
  <c r="D571" i="22"/>
  <c r="D568" i="22"/>
  <c r="D567" i="22"/>
  <c r="D557" i="22"/>
  <c r="D556" i="22"/>
  <c r="D546" i="22"/>
  <c r="D545" i="22"/>
  <c r="D542" i="22"/>
  <c r="D541" i="22"/>
  <c r="D538" i="22"/>
  <c r="D537" i="22"/>
  <c r="D534" i="22"/>
  <c r="D533" i="22"/>
  <c r="D523" i="22"/>
  <c r="D522" i="22"/>
  <c r="D547" i="22"/>
  <c r="D543" i="22"/>
  <c r="D539" i="22"/>
  <c r="D535" i="22"/>
  <c r="D530" i="22"/>
  <c r="D529" i="22"/>
  <c r="D526" i="22"/>
  <c r="D519" i="22"/>
  <c r="D518" i="22"/>
  <c r="D493" i="22"/>
  <c r="D492" i="22"/>
  <c r="D485" i="22"/>
  <c r="D484" i="22"/>
  <c r="D508" i="22"/>
  <c r="D507" i="22"/>
  <c r="D504" i="22"/>
  <c r="D503" i="22"/>
  <c r="D500" i="22"/>
  <c r="D499" i="22"/>
  <c r="D480" i="22"/>
  <c r="D462" i="22"/>
  <c r="D447" i="22"/>
  <c r="D446" i="22"/>
  <c r="D445" i="22"/>
  <c r="D433" i="22"/>
  <c r="D429" i="22"/>
  <c r="D425" i="22"/>
  <c r="D421" i="22"/>
  <c r="D417" i="22"/>
  <c r="D413" i="22"/>
  <c r="D409" i="22"/>
  <c r="D405" i="22"/>
  <c r="D404" i="22"/>
  <c r="D371" i="22"/>
  <c r="D370" i="22"/>
  <c r="D369" i="22"/>
  <c r="D356" i="22"/>
  <c r="D355" i="22"/>
  <c r="D352" i="22"/>
  <c r="D351" i="22"/>
  <c r="D348" i="22"/>
  <c r="D347" i="22"/>
  <c r="D344" i="22"/>
  <c r="D343" i="22"/>
  <c r="D340" i="22"/>
  <c r="D339" i="22"/>
  <c r="D336" i="22"/>
  <c r="D335" i="22"/>
  <c r="D332" i="22"/>
  <c r="D331" i="22"/>
  <c r="D328" i="22"/>
  <c r="D319" i="22"/>
  <c r="D318" i="22"/>
  <c r="D311" i="22"/>
  <c r="D310" i="22"/>
  <c r="D303" i="22"/>
  <c r="D302" i="22"/>
  <c r="D295" i="22"/>
  <c r="D294" i="22"/>
  <c r="D315" i="22"/>
  <c r="D314" i="22"/>
  <c r="D307" i="22"/>
  <c r="D306" i="22"/>
  <c r="D299" i="22"/>
  <c r="D298" i="22"/>
  <c r="D291" i="22"/>
  <c r="D290" i="22"/>
  <c r="D280" i="22"/>
  <c r="D279" i="22"/>
  <c r="D276" i="22"/>
  <c r="D275" i="22"/>
  <c r="D272" i="22"/>
  <c r="D271" i="22"/>
  <c r="D268" i="22"/>
  <c r="D267" i="22"/>
  <c r="D264" i="22"/>
  <c r="D263" i="22"/>
  <c r="D260" i="22"/>
  <c r="D259" i="22"/>
  <c r="D256" i="22"/>
  <c r="D257" i="22"/>
  <c r="D243" i="22"/>
  <c r="D242" i="22"/>
  <c r="D235" i="22"/>
  <c r="D234" i="22"/>
  <c r="D227" i="22"/>
  <c r="D226" i="22"/>
  <c r="D219" i="22"/>
  <c r="D218" i="22"/>
  <c r="D215" i="22"/>
  <c r="D214" i="22"/>
  <c r="D181" i="22"/>
  <c r="D180" i="22"/>
  <c r="D205" i="22"/>
  <c r="D201" i="22"/>
  <c r="D197" i="22"/>
  <c r="D193" i="22"/>
  <c r="D189" i="22"/>
  <c r="D185" i="22"/>
  <c r="D184" i="22"/>
  <c r="D177" i="22"/>
  <c r="D176" i="22"/>
  <c r="D159" i="22"/>
  <c r="D158" i="22"/>
  <c r="D151" i="22"/>
  <c r="D150" i="22"/>
  <c r="D143" i="22"/>
  <c r="D142" i="22"/>
  <c r="D166" i="22"/>
  <c r="D165" i="22"/>
  <c r="D128" i="22"/>
  <c r="D127" i="22"/>
  <c r="D117" i="22"/>
  <c r="D116" i="22"/>
  <c r="D105" i="22"/>
  <c r="D104" i="22"/>
  <c r="D129" i="22"/>
  <c r="D124" i="22"/>
  <c r="D123" i="22"/>
  <c r="D112" i="22"/>
  <c r="D87" i="22"/>
  <c r="D86" i="22"/>
  <c r="D79" i="22"/>
  <c r="D78" i="22"/>
  <c r="D74" i="22"/>
  <c r="D73" i="22"/>
  <c r="D70" i="22"/>
  <c r="D69" i="22"/>
  <c r="D66" i="22"/>
  <c r="D65" i="22"/>
  <c r="D63" i="22"/>
  <c r="D62" i="22"/>
  <c r="D37" i="22"/>
  <c r="D36" i="22"/>
  <c r="D29" i="22"/>
  <c r="D28" i="22"/>
  <c r="D52" i="22"/>
  <c r="D51" i="22"/>
  <c r="D48" i="22"/>
  <c r="D47" i="22"/>
  <c r="D44" i="22"/>
  <c r="D43" i="22"/>
  <c r="D729" i="14"/>
  <c r="D728" i="14"/>
  <c r="D721" i="14"/>
  <c r="D720" i="14"/>
  <c r="D713" i="14"/>
  <c r="D712" i="14"/>
  <c r="E704" i="14"/>
  <c r="D737" i="14"/>
  <c r="D732" i="14"/>
  <c r="D725" i="14"/>
  <c r="D724" i="14"/>
  <c r="D717" i="14"/>
  <c r="D716" i="14"/>
  <c r="D709" i="14"/>
  <c r="D699" i="14"/>
  <c r="D698" i="14"/>
  <c r="D697" i="14"/>
  <c r="D694" i="14"/>
  <c r="D693" i="14"/>
  <c r="D690" i="14"/>
  <c r="D689" i="14"/>
  <c r="D671" i="14"/>
  <c r="D660" i="14"/>
  <c r="D652" i="14"/>
  <c r="D639" i="14"/>
  <c r="D659" i="14"/>
  <c r="D656" i="14"/>
  <c r="D655" i="14"/>
  <c r="D651" i="14"/>
  <c r="D648" i="14"/>
  <c r="D647" i="14"/>
  <c r="D644" i="14"/>
  <c r="D643" i="14"/>
  <c r="D640" i="14"/>
  <c r="D661" i="14"/>
  <c r="D657" i="14"/>
  <c r="D653" i="14"/>
  <c r="D649" i="14"/>
  <c r="D645" i="14"/>
  <c r="D641" i="14"/>
  <c r="D636" i="14"/>
  <c r="D635" i="14"/>
  <c r="D623" i="14"/>
  <c r="D622" i="14"/>
  <c r="D615" i="14"/>
  <c r="D614" i="14"/>
  <c r="D607" i="14"/>
  <c r="D606" i="14"/>
  <c r="D599" i="14"/>
  <c r="D598" i="14"/>
  <c r="D595" i="14"/>
  <c r="D594" i="14"/>
  <c r="D585" i="14"/>
  <c r="D581" i="14"/>
  <c r="D577" i="14"/>
  <c r="D573" i="14"/>
  <c r="D569" i="14"/>
  <c r="D565" i="14"/>
  <c r="D561" i="14"/>
  <c r="D560" i="14"/>
  <c r="D557" i="14"/>
  <c r="D556" i="14"/>
  <c r="D547" i="14"/>
  <c r="D546" i="14"/>
  <c r="D539" i="14"/>
  <c r="D538" i="14"/>
  <c r="D531" i="14"/>
  <c r="D530" i="14"/>
  <c r="D523" i="14"/>
  <c r="D522" i="14"/>
  <c r="D485" i="14"/>
  <c r="D484" i="14"/>
  <c r="D508" i="14"/>
  <c r="D507" i="14"/>
  <c r="D504" i="14"/>
  <c r="D503" i="14"/>
  <c r="D500" i="14"/>
  <c r="D499" i="14"/>
  <c r="D496" i="14"/>
  <c r="D495" i="14"/>
  <c r="D492" i="14"/>
  <c r="D491" i="14"/>
  <c r="D488" i="14"/>
  <c r="D481" i="14"/>
  <c r="D480" i="14"/>
  <c r="D471" i="14"/>
  <c r="D470" i="14"/>
  <c r="D463" i="14"/>
  <c r="D462" i="14"/>
  <c r="D455" i="14"/>
  <c r="D454" i="14"/>
  <c r="D447" i="14"/>
  <c r="D446" i="14"/>
  <c r="D467" i="14"/>
  <c r="D466" i="14"/>
  <c r="D459" i="14"/>
  <c r="D458" i="14"/>
  <c r="D451" i="14"/>
  <c r="D450" i="14"/>
  <c r="D443" i="14"/>
  <c r="D442" i="14"/>
  <c r="D433" i="14"/>
  <c r="D429" i="14"/>
  <c r="D425" i="14"/>
  <c r="D421" i="14"/>
  <c r="D417" i="14"/>
  <c r="D412" i="14"/>
  <c r="D411" i="14"/>
  <c r="D409" i="14"/>
  <c r="D408" i="14"/>
  <c r="D407" i="14"/>
  <c r="D405" i="14"/>
  <c r="D404" i="14"/>
  <c r="D395" i="14"/>
  <c r="D390" i="14"/>
  <c r="D389" i="14"/>
  <c r="D375" i="14"/>
  <c r="D374" i="14"/>
  <c r="D373" i="14"/>
  <c r="D370" i="14"/>
  <c r="D387" i="14"/>
  <c r="D386" i="14"/>
  <c r="D371" i="14"/>
  <c r="D378" i="14"/>
  <c r="D356" i="14"/>
  <c r="D355" i="14"/>
  <c r="D352" i="14"/>
  <c r="D351" i="14"/>
  <c r="D348" i="14"/>
  <c r="D347" i="14"/>
  <c r="D344" i="14"/>
  <c r="D343" i="14"/>
  <c r="D340" i="14"/>
  <c r="D339" i="14"/>
  <c r="D336" i="14"/>
  <c r="D335" i="14"/>
  <c r="D332" i="14"/>
  <c r="D331" i="14"/>
  <c r="D318" i="14"/>
  <c r="D317" i="14"/>
  <c r="D314" i="14"/>
  <c r="D313" i="14"/>
  <c r="D310" i="14"/>
  <c r="D309" i="14"/>
  <c r="D306" i="14"/>
  <c r="D305" i="14"/>
  <c r="D302" i="14"/>
  <c r="D301" i="14"/>
  <c r="D298" i="14"/>
  <c r="D297" i="14"/>
  <c r="D294" i="14"/>
  <c r="D281" i="14"/>
  <c r="D280" i="14"/>
  <c r="D273" i="14"/>
  <c r="D272" i="14"/>
  <c r="D265" i="14"/>
  <c r="D264" i="14"/>
  <c r="D257" i="14"/>
  <c r="D256" i="14"/>
  <c r="D277" i="14"/>
  <c r="D276" i="14"/>
  <c r="D269" i="14"/>
  <c r="D268" i="14"/>
  <c r="D261" i="14"/>
  <c r="D260" i="14"/>
  <c r="D253" i="14"/>
  <c r="D242" i="14"/>
  <c r="D241" i="14"/>
  <c r="D238" i="14"/>
  <c r="D237" i="14"/>
  <c r="D227" i="14"/>
  <c r="D226" i="14"/>
  <c r="D219" i="14"/>
  <c r="D218" i="14"/>
  <c r="D230" i="14"/>
  <c r="D223" i="14"/>
  <c r="D222" i="14"/>
  <c r="D215" i="14"/>
  <c r="D205" i="14"/>
  <c r="D204" i="14"/>
  <c r="D197" i="14"/>
  <c r="D196" i="14"/>
  <c r="D189" i="14"/>
  <c r="D188" i="14"/>
  <c r="D181" i="14"/>
  <c r="D180" i="14"/>
  <c r="D166" i="14"/>
  <c r="D162" i="14"/>
  <c r="D158" i="14"/>
  <c r="D154" i="14"/>
  <c r="D150" i="14"/>
  <c r="D146" i="14"/>
  <c r="D142" i="14"/>
  <c r="D138" i="14"/>
  <c r="D129" i="14"/>
  <c r="D125" i="14"/>
  <c r="D121" i="14"/>
  <c r="D117" i="14"/>
  <c r="D113" i="14"/>
  <c r="D109" i="14"/>
  <c r="D104" i="14"/>
  <c r="D101" i="14"/>
  <c r="D100" i="14"/>
  <c r="D90" i="14"/>
  <c r="D89" i="14"/>
  <c r="D86" i="14"/>
  <c r="D85" i="14"/>
  <c r="D82" i="14"/>
  <c r="D81" i="14"/>
  <c r="D78" i="14"/>
  <c r="D77" i="14"/>
  <c r="D74" i="14"/>
  <c r="D73" i="14"/>
  <c r="D70" i="14"/>
  <c r="D69" i="14"/>
  <c r="D66" i="14"/>
  <c r="D65" i="14"/>
  <c r="D29" i="14"/>
  <c r="D28" i="14"/>
  <c r="D52" i="14"/>
  <c r="D51" i="14"/>
  <c r="D48" i="14"/>
  <c r="D47" i="14"/>
  <c r="D44" i="14"/>
  <c r="D43" i="14"/>
  <c r="D40" i="14"/>
  <c r="D39" i="14"/>
  <c r="D36" i="14"/>
  <c r="D35" i="14"/>
  <c r="D32" i="14"/>
  <c r="D2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K1198" i="21"/>
  <c r="AU61" i="9" a="1"/>
  <c r="O61" i="9" a="1"/>
  <c r="Z61" i="9" a="1"/>
  <c r="AO61" i="9" a="1"/>
  <c r="I61" i="9" a="1"/>
  <c r="K96" i="21"/>
  <c r="K248" i="21"/>
  <c r="K476" i="21"/>
  <c r="K1274" i="21"/>
  <c r="K1692" i="21"/>
  <c r="K1008" i="21"/>
  <c r="K1540" i="21"/>
  <c r="AQ61" i="9" a="1"/>
  <c r="K61" i="9" a="1"/>
  <c r="V61" i="9" a="1"/>
  <c r="AK61" i="9" a="1"/>
  <c r="L61" i="9" a="1"/>
  <c r="K172" i="21"/>
  <c r="K324" i="21"/>
  <c r="K932" i="21"/>
  <c r="K1236" i="21"/>
  <c r="K742" i="21"/>
  <c r="K628" i="21"/>
  <c r="AM61" i="9" a="1"/>
  <c r="G61" i="9" a="1"/>
  <c r="R61" i="9" a="1"/>
  <c r="AG61" i="9" a="1"/>
  <c r="AB61" i="9" a="1"/>
  <c r="K58" i="21"/>
  <c r="K590" i="21"/>
  <c r="K856" i="21"/>
  <c r="AN61" i="9" a="1"/>
  <c r="K1350" i="21"/>
  <c r="K1122" i="21"/>
  <c r="E61" i="9" a="1"/>
  <c r="AI61" i="9" a="1"/>
  <c r="AT61" i="9" a="1"/>
  <c r="N61" i="9" a="1"/>
  <c r="AC61" i="9" a="1"/>
  <c r="AR61" i="9" a="1"/>
  <c r="K210" i="21"/>
  <c r="K666" i="21"/>
  <c r="K894" i="21"/>
  <c r="K1426" i="21"/>
  <c r="K362" i="21"/>
  <c r="T61" i="9" a="1"/>
  <c r="AE61" i="9" a="1"/>
  <c r="AP61" i="9" a="1"/>
  <c r="J61" i="9" a="1"/>
  <c r="Y61" i="9" a="1"/>
  <c r="P61" i="9" a="1"/>
  <c r="K286" i="21"/>
  <c r="K400" i="21"/>
  <c r="K1046" i="21"/>
  <c r="K1502" i="21"/>
  <c r="K1312" i="21"/>
  <c r="AJ61" i="9" a="1"/>
  <c r="AA61" i="9" a="1"/>
  <c r="AL61" i="9" a="1"/>
  <c r="F61" i="9" a="1"/>
  <c r="U61" i="9" a="1"/>
  <c r="AF61" i="9" a="1"/>
  <c r="K514" i="21"/>
  <c r="K780" i="21"/>
  <c r="K818" i="21"/>
  <c r="K1464" i="21"/>
  <c r="K970" i="21"/>
  <c r="K1388" i="21"/>
  <c r="H61" i="9" a="1"/>
  <c r="W61" i="9" a="1"/>
  <c r="AH61" i="9" a="1"/>
  <c r="AW61" i="9" a="1"/>
  <c r="Q61" i="9" a="1"/>
  <c r="AV61" i="9" a="1"/>
  <c r="K552" i="21"/>
  <c r="K438" i="21"/>
  <c r="K1084" i="21"/>
  <c r="K1616" i="21"/>
  <c r="K1654" i="21"/>
  <c r="X61" i="9" a="1"/>
  <c r="S61" i="9" a="1"/>
  <c r="AD61" i="9" a="1"/>
  <c r="AS61" i="9" a="1"/>
  <c r="M61" i="9" a="1"/>
  <c r="K20" i="21"/>
  <c r="K134" i="21"/>
  <c r="K704" i="21"/>
  <c r="K1160" i="21"/>
  <c r="K1578" i="21"/>
  <c r="P24" i="9" a="1"/>
  <c r="AF24" i="9" a="1"/>
  <c r="K96" i="15"/>
  <c r="BM23" i="9" a="1"/>
  <c r="K1084" i="22"/>
  <c r="BU23" i="9" a="1"/>
  <c r="K1844" i="22"/>
  <c r="AC23" i="9" a="1"/>
  <c r="AV23" i="9" a="1"/>
  <c r="BG24" i="9" a="1"/>
  <c r="BH21" i="9" a="1"/>
  <c r="AK24" i="9" a="1"/>
  <c r="AZ23" i="9" a="1"/>
  <c r="AV22" i="9" a="1"/>
  <c r="Z22" i="9" a="1"/>
  <c r="AT22" i="9" a="1"/>
  <c r="V22" i="9" a="1"/>
  <c r="BG22" i="9" a="1"/>
  <c r="BS22" i="9" a="1"/>
  <c r="G22" i="9" a="1"/>
  <c r="BO24" i="9" a="1"/>
  <c r="W21" i="9" a="1"/>
  <c r="U22" i="9" a="1"/>
  <c r="K1236" i="22"/>
  <c r="BO21" i="9" a="1"/>
  <c r="BN21" i="9" a="1"/>
  <c r="CR23" i="9" a="1"/>
  <c r="AO22" i="9" a="1"/>
  <c r="L24" i="9" a="1"/>
  <c r="K970" i="22"/>
  <c r="CI24" i="9" a="1"/>
  <c r="AP24" i="9" a="1"/>
  <c r="AT24" i="9" a="1"/>
  <c r="CJ20" i="9" a="1"/>
  <c r="AF22" i="9" a="1"/>
  <c r="CF21" i="9" a="1"/>
  <c r="K742" i="22"/>
  <c r="AG24" i="9" a="1"/>
  <c r="K1616" i="22"/>
  <c r="CF20" i="9" a="1"/>
  <c r="BZ22" i="9" a="1"/>
  <c r="BL20" i="9" a="1"/>
  <c r="O21" i="9" a="1"/>
  <c r="AE23" i="9" a="1"/>
  <c r="K210" i="5"/>
  <c r="K362" i="14"/>
  <c r="AN23" i="9" a="1"/>
  <c r="K438" i="22"/>
  <c r="CH24" i="9" a="1"/>
  <c r="BU22" i="9" a="1"/>
  <c r="V21" i="9" a="1"/>
  <c r="AX22" i="9" a="1"/>
  <c r="AD23" i="9" a="1"/>
  <c r="AP21" i="9" a="1"/>
  <c r="BT23" i="9" a="1"/>
  <c r="CL21" i="9" a="1"/>
  <c r="BK22" i="9" a="1"/>
  <c r="K590" i="14"/>
  <c r="CM24" i="9" a="1"/>
  <c r="AC22" i="9" a="1"/>
  <c r="W22" i="9" a="1"/>
  <c r="P23" i="9" a="1"/>
  <c r="BM22" i="9" a="1"/>
  <c r="N21" i="9" a="1"/>
  <c r="CP23" i="9" a="1"/>
  <c r="BE22" i="9" a="1"/>
  <c r="M23" i="9" a="1"/>
  <c r="BG21" i="9" a="1"/>
  <c r="K1654" i="22"/>
  <c r="BU21" i="9" a="1"/>
  <c r="AL23" i="9" a="1"/>
  <c r="BX23" i="9" a="1"/>
  <c r="Y20" i="9" a="1"/>
  <c r="K210" i="22"/>
  <c r="K58" i="13"/>
  <c r="BO23" i="9" a="1"/>
  <c r="BN23" i="9" a="1"/>
  <c r="M20" i="9" a="1"/>
  <c r="CA22" i="9" a="1"/>
  <c r="BT20" i="9" a="1"/>
  <c r="T22" i="9" a="1"/>
  <c r="K552" i="14"/>
  <c r="AM24" i="9" a="1"/>
  <c r="AZ20" i="9" a="1"/>
  <c r="K134" i="14"/>
  <c r="AG23" i="9" a="1"/>
  <c r="K552" i="22"/>
  <c r="BF21" i="9" a="1"/>
  <c r="Q23" i="9" a="1"/>
  <c r="K172" i="15"/>
  <c r="BC21" i="9" a="1"/>
  <c r="BK24" i="9" a="1"/>
  <c r="X20" i="9" a="1"/>
  <c r="V24" i="9" a="1"/>
  <c r="N22" i="9" a="1"/>
  <c r="X22" i="9" a="1"/>
  <c r="K172" i="14"/>
  <c r="BA23" i="9" a="1"/>
  <c r="BF23" i="9" a="1"/>
  <c r="BC22" i="9" a="1"/>
  <c r="CE20" i="9" a="1"/>
  <c r="BX20" i="9" a="1"/>
  <c r="M24" i="9" a="1"/>
  <c r="F21" i="9" a="1"/>
  <c r="AH23" i="9" a="1"/>
  <c r="CN20" i="9" a="1"/>
  <c r="F23" i="9" a="1"/>
  <c r="CR20" i="9" a="1"/>
  <c r="AA20" i="9" a="1"/>
  <c r="CO22" i="9" a="1"/>
  <c r="BQ24" i="9" a="1"/>
  <c r="K1198" i="22"/>
  <c r="K20" i="13"/>
  <c r="AD24" i="9" a="1"/>
  <c r="CA21" i="9" a="1"/>
  <c r="K628" i="14"/>
  <c r="AV20" i="9" a="1"/>
  <c r="BU20" i="9" a="1"/>
  <c r="J24" i="9" a="1"/>
  <c r="CD24" i="9" a="1"/>
  <c r="CM20" i="9" a="1"/>
  <c r="AX20" i="9" a="1"/>
  <c r="BS23" i="9" a="1"/>
  <c r="AG20" i="9" a="1"/>
  <c r="BB21" i="9" a="1"/>
  <c r="CE21" i="9" a="1"/>
  <c r="I20" i="9" a="1"/>
  <c r="BQ22" i="9" a="1"/>
  <c r="BI22" i="9" a="1"/>
  <c r="BM24" i="9" a="1"/>
  <c r="R24" i="9" a="1"/>
  <c r="G23" i="9" a="1"/>
  <c r="BL22" i="9" a="1"/>
  <c r="AY22" i="9" a="1"/>
  <c r="BF22" i="9" a="1"/>
  <c r="BT22" i="9" a="1"/>
  <c r="BW22" i="9" a="1"/>
  <c r="T21" i="9" a="1"/>
  <c r="CJ22" i="9" a="1"/>
  <c r="CA24" i="9" a="1"/>
  <c r="U24" i="9" a="1"/>
  <c r="AQ21" i="9" a="1"/>
  <c r="AD21" i="9" a="1"/>
  <c r="CP22" i="9" a="1"/>
  <c r="AG21" i="9" a="1"/>
  <c r="BM21" i="9" a="1"/>
  <c r="CM23" i="9" a="1"/>
  <c r="BV22" i="9" a="1"/>
  <c r="AW21" i="9" a="1"/>
  <c r="CQ21" i="9" a="1"/>
  <c r="K210" i="14"/>
  <c r="BK23" i="9" a="1"/>
  <c r="Y24" i="9" a="1"/>
  <c r="CC22" i="9" a="1"/>
  <c r="W23" i="9" a="1"/>
  <c r="V23" i="9" a="1"/>
  <c r="K23" i="9" a="1"/>
  <c r="BH23" i="9" a="1"/>
  <c r="CQ23" i="9" a="1"/>
  <c r="K476" i="22"/>
  <c r="AX21" i="9" a="1"/>
  <c r="K58" i="22"/>
  <c r="AB20" i="9" a="1"/>
  <c r="S22" i="9" a="1"/>
  <c r="AP22" i="9" a="1"/>
  <c r="CR21" i="9" a="1"/>
  <c r="BR20" i="9" a="1"/>
  <c r="K1274" i="22"/>
  <c r="BC23" i="9" a="1"/>
  <c r="CM22" i="9" a="1"/>
  <c r="T20" i="9" a="1"/>
  <c r="CQ24" i="9" a="1"/>
  <c r="K22" i="9" a="1"/>
  <c r="CB21" i="9" a="1"/>
  <c r="T23" i="9" a="1"/>
  <c r="BJ20" i="9" a="1"/>
  <c r="AJ24" i="9" a="1"/>
  <c r="AS23" i="9" a="1"/>
  <c r="CG24" i="9" a="1"/>
  <c r="BQ21" i="9" a="1"/>
  <c r="M21" i="9" a="1"/>
  <c r="AB24" i="9" a="1"/>
  <c r="CL20" i="9" a="1"/>
  <c r="AC24" i="9" a="1"/>
  <c r="AS21" i="9" a="1"/>
  <c r="K134" i="22"/>
  <c r="H24" i="9" a="1"/>
  <c r="K58" i="18"/>
  <c r="CJ23" i="9" a="1"/>
  <c r="E22" i="9" a="1"/>
  <c r="AE22" i="9" a="1"/>
  <c r="BZ21" i="9" a="1"/>
  <c r="BR22" i="9" a="1"/>
  <c r="CC20" i="9" a="1"/>
  <c r="BE21" i="9" a="1"/>
  <c r="AZ24" i="9" a="1"/>
  <c r="S21" i="9" a="1"/>
  <c r="Z24" i="9" a="1"/>
  <c r="AW23" i="9" a="1"/>
  <c r="J22" i="9" a="1"/>
  <c r="K932" i="22"/>
  <c r="CD21" i="9" a="1"/>
  <c r="K704" i="14"/>
  <c r="AQ20" i="9" a="1"/>
  <c r="K628" i="22"/>
  <c r="AT21" i="9" a="1"/>
  <c r="BX24" i="9" a="1"/>
  <c r="BD21" i="9" a="1"/>
  <c r="BG23" i="9" a="1"/>
  <c r="CD20" i="9" a="1"/>
  <c r="AB21" i="9" a="1"/>
  <c r="K856" i="22"/>
  <c r="AI20" i="9" a="1"/>
  <c r="BH22" i="9" a="1"/>
  <c r="R21" i="9" a="1"/>
  <c r="BS21" i="9" a="1"/>
  <c r="AN20" i="9" a="1"/>
  <c r="AL24" i="9" a="1"/>
  <c r="CF22" i="9" a="1"/>
  <c r="Y23" i="9" a="1"/>
  <c r="K514" i="14"/>
  <c r="BL21" i="9" a="1"/>
  <c r="BL24" i="9" a="1"/>
  <c r="E24" i="9" a="1"/>
  <c r="K286" i="14"/>
  <c r="K324" i="22"/>
  <c r="AU22" i="9" a="1"/>
  <c r="K666" i="22"/>
  <c r="AH21" i="9" a="1"/>
  <c r="BZ20" i="9" a="1"/>
  <c r="BD22" i="9" a="1"/>
  <c r="U21" i="9" a="1"/>
  <c r="BY24" i="9" a="1"/>
  <c r="K58" i="14"/>
  <c r="CK24" i="9" a="1"/>
  <c r="BH24" i="9" a="1"/>
  <c r="Y22" i="9" a="1"/>
  <c r="AM23" i="9" a="1"/>
  <c r="K134" i="15"/>
  <c r="O20" i="9" a="1"/>
  <c r="BT21" i="9" a="1"/>
  <c r="K172" i="18"/>
  <c r="BB20" i="9" a="1"/>
  <c r="K96" i="18"/>
  <c r="AA23" i="9" a="1"/>
  <c r="AI21" i="9" a="1"/>
  <c r="AV24" i="9" a="1"/>
  <c r="AI22" i="9" a="1"/>
  <c r="Q21" i="9" a="1"/>
  <c r="BT24" i="9" a="1"/>
  <c r="BL23" i="9" a="1"/>
  <c r="L21" i="9" a="1"/>
  <c r="AO24" i="9" a="1"/>
  <c r="J23" i="9" a="1"/>
  <c r="CI22" i="9" a="1"/>
  <c r="AO21" i="9" a="1"/>
  <c r="BN22" i="9" a="1"/>
  <c r="H23" i="9" a="1"/>
  <c r="CL22" i="9" a="1"/>
  <c r="BQ23" i="9" a="1"/>
  <c r="CA20" i="9" a="1"/>
  <c r="K1388" i="22"/>
  <c r="O24" i="9" a="1"/>
  <c r="CJ24" i="9" a="1"/>
  <c r="BR23" i="9" a="1"/>
  <c r="I22" i="9" a="1"/>
  <c r="K1730" i="22"/>
  <c r="CD23" i="9" a="1"/>
  <c r="R20" i="9" a="1"/>
  <c r="AL20" i="9" a="1"/>
  <c r="K1160" i="22"/>
  <c r="BV24" i="9" a="1"/>
  <c r="BC24" i="9" a="1"/>
  <c r="AU23" i="9" a="1"/>
  <c r="CE23" i="9" a="1"/>
  <c r="K20" i="14"/>
  <c r="BP20" i="9" a="1"/>
  <c r="BS20" i="9" a="1"/>
  <c r="K780" i="22"/>
  <c r="V20" i="9" a="1"/>
  <c r="R22" i="9" a="1"/>
  <c r="AT20" i="9" a="1"/>
  <c r="Q20" i="9" a="1"/>
  <c r="CF24" i="9" a="1"/>
  <c r="K1502" i="22"/>
  <c r="K1312" i="22"/>
  <c r="CG22" i="9" a="1"/>
  <c r="K20" i="22"/>
  <c r="F24" i="9" a="1"/>
  <c r="N24" i="9" a="1"/>
  <c r="BX22" i="9" a="1"/>
  <c r="AA22" i="9" a="1"/>
  <c r="CI20" i="9" a="1"/>
  <c r="AM21" i="9" a="1"/>
  <c r="BJ21" i="9" a="1"/>
  <c r="AV21" i="9" a="1"/>
  <c r="CN21" i="9" a="1"/>
  <c r="AJ22" i="9" a="1"/>
  <c r="BW23" i="9" a="1"/>
  <c r="BE24" i="9" a="1"/>
  <c r="BU24" i="9" a="1"/>
  <c r="AO23" i="9" a="1"/>
  <c r="K58" i="5"/>
  <c r="AF21" i="9" a="1"/>
  <c r="M22" i="9" a="1"/>
  <c r="K1046" i="22"/>
  <c r="AK21" i="9" a="1"/>
  <c r="CO23" i="9" a="1"/>
  <c r="AX24" i="9" a="1"/>
  <c r="BW24" i="9" a="1"/>
  <c r="CE24" i="9" a="1"/>
  <c r="AC21" i="9" a="1"/>
  <c r="K20" i="5"/>
  <c r="CR22" i="9" a="1"/>
  <c r="Z23" i="9" a="1"/>
  <c r="K1122" i="22"/>
  <c r="BH20" i="9" a="1"/>
  <c r="CQ22" i="9" a="1"/>
  <c r="CP21" i="9" a="1"/>
  <c r="BF24" i="9" a="1"/>
  <c r="CM21" i="9" a="1"/>
  <c r="BE23" i="9" a="1"/>
  <c r="K1806" i="22"/>
  <c r="H22" i="9" a="1"/>
  <c r="BX21" i="9" a="1"/>
  <c r="AZ21" i="9" a="1"/>
  <c r="U20" i="9" a="1"/>
  <c r="BY20" i="9" a="1"/>
  <c r="AR20" i="9" a="1"/>
  <c r="BA24" i="9" a="1"/>
  <c r="Q24" i="9" a="1"/>
  <c r="AB23" i="9" a="1"/>
  <c r="CJ21" i="9" a="1"/>
  <c r="X23" i="9" a="1"/>
  <c r="R23" i="9" a="1"/>
  <c r="K20" i="18"/>
  <c r="K96" i="14"/>
  <c r="E21" i="9" a="1"/>
  <c r="BJ24" i="9" a="1"/>
  <c r="AN24" i="9" a="1"/>
  <c r="BF20" i="9" a="1"/>
  <c r="J20" i="9" a="1"/>
  <c r="AI23" i="9" a="1"/>
  <c r="BG20" i="9" a="1"/>
  <c r="AO20" i="9" a="1"/>
  <c r="AM20" i="9" a="1"/>
  <c r="K1008" i="22"/>
  <c r="AP20" i="9" a="1"/>
  <c r="BY21" i="9" a="1"/>
  <c r="CA23" i="9" a="1"/>
  <c r="AH24" i="9" a="1"/>
  <c r="CC23" i="9" a="1"/>
  <c r="BA20" i="9" a="1"/>
  <c r="K286" i="22"/>
  <c r="BA22" i="9" a="1"/>
  <c r="CP24" i="9" a="1"/>
  <c r="AK22" i="9" a="1"/>
  <c r="CN22" i="9" a="1"/>
  <c r="BD20" i="9" a="1"/>
  <c r="CI21" i="9" a="1"/>
  <c r="W20" i="9" a="1"/>
  <c r="K134" i="5"/>
  <c r="BE20" i="9" a="1"/>
  <c r="BC20" i="9" a="1"/>
  <c r="CL23" i="9" a="1"/>
  <c r="S23" i="9" a="1"/>
  <c r="CL24" i="9" a="1"/>
  <c r="CC21" i="9" a="1"/>
  <c r="K324" i="15"/>
  <c r="K21" i="9" a="1"/>
  <c r="AD22" i="9" a="1"/>
  <c r="AR21" i="9" a="1"/>
  <c r="J21" i="9" a="1"/>
  <c r="O22" i="9" a="1"/>
  <c r="K704" i="22"/>
  <c r="X21" i="9" a="1"/>
  <c r="CB24" i="9" a="1"/>
  <c r="I24" i="9" a="1"/>
  <c r="AU21" i="9" a="1"/>
  <c r="E23" i="9" a="1"/>
  <c r="AH22" i="9" a="1"/>
  <c r="Z21" i="9" a="1"/>
  <c r="AF20" i="9" a="1"/>
  <c r="BV21" i="9" a="1"/>
  <c r="AS22" i="9" a="1"/>
  <c r="AR23" i="9" a="1"/>
  <c r="BZ23" i="9" a="1"/>
  <c r="K1464" i="22"/>
  <c r="BS24" i="9" a="1"/>
  <c r="K476" i="14"/>
  <c r="CH21" i="9" a="1"/>
  <c r="X24" i="9" a="1"/>
  <c r="BV23" i="9" a="1"/>
  <c r="CK22" i="9" a="1"/>
  <c r="BI24" i="9" a="1"/>
  <c r="AK20" i="9" a="1"/>
  <c r="AX23" i="9" a="1"/>
  <c r="BP24" i="9" a="1"/>
  <c r="U23" i="9" a="1"/>
  <c r="CK20" i="9" a="1"/>
  <c r="O23" i="9" a="1"/>
  <c r="K96" i="22"/>
  <c r="K172" i="5"/>
  <c r="AU24" i="9" a="1"/>
  <c r="BB24" i="9" a="1"/>
  <c r="CK21" i="9" a="1"/>
  <c r="CF23" i="9" a="1"/>
  <c r="AD20" i="9" a="1"/>
  <c r="BO22" i="9" a="1"/>
  <c r="K1578" i="22"/>
  <c r="K590" i="22"/>
  <c r="BP22" i="9" a="1"/>
  <c r="AC20" i="9" a="1"/>
  <c r="BY23" i="9" a="1"/>
  <c r="K24" i="9" a="1"/>
  <c r="S24" i="9" a="1"/>
  <c r="K96" i="13"/>
  <c r="F22" i="9" a="1"/>
  <c r="AY21" i="9" a="1"/>
  <c r="K172" i="22"/>
  <c r="K438" i="14"/>
  <c r="AU20" i="9" a="1"/>
  <c r="K818" i="22"/>
  <c r="BR24" i="9" a="1"/>
  <c r="BZ24" i="9" a="1"/>
  <c r="CO20" i="9" a="1"/>
  <c r="L22" i="9" a="1"/>
  <c r="AZ22" i="9" a="1"/>
  <c r="E20" i="9" a="1"/>
  <c r="AB22" i="9" a="1"/>
  <c r="BJ22" i="9" a="1"/>
  <c r="L20" i="9" a="1"/>
  <c r="K400" i="14"/>
  <c r="CD22" i="9" a="1"/>
  <c r="CG21" i="9" a="1"/>
  <c r="T24" i="9" a="1"/>
  <c r="AJ23" i="9" a="1"/>
  <c r="F20" i="9" a="1"/>
  <c r="AR24" i="9" a="1"/>
  <c r="AN22" i="9" a="1"/>
  <c r="CO24" i="9" a="1"/>
  <c r="BJ23" i="9" a="1"/>
  <c r="AL22" i="9" a="1"/>
  <c r="BQ20" i="9" a="1"/>
  <c r="AP23" i="9" a="1"/>
  <c r="AK23" i="9" a="1"/>
  <c r="AL21" i="9" a="1"/>
  <c r="BD23" i="9" a="1"/>
  <c r="L23" i="9" a="1"/>
  <c r="BK21" i="9" a="1"/>
  <c r="I21" i="9" a="1"/>
  <c r="AW24" i="9" a="1"/>
  <c r="BI20" i="9" a="1"/>
  <c r="K514" i="22"/>
  <c r="CK23" i="9" a="1"/>
  <c r="AE20" i="9" a="1"/>
  <c r="K286" i="15"/>
  <c r="K96" i="5"/>
  <c r="BW21" i="9" a="1"/>
  <c r="K134" i="18"/>
  <c r="CO21" i="9" a="1"/>
  <c r="BM20" i="9" a="1"/>
  <c r="G20" i="9" a="1"/>
  <c r="AH20" i="9" a="1"/>
  <c r="P22" i="9" a="1"/>
  <c r="K20" i="9" a="1"/>
  <c r="P20" i="9" a="1"/>
  <c r="K58" i="15"/>
  <c r="BW20" i="9" a="1"/>
  <c r="K1426" i="22"/>
  <c r="CQ20" i="9" a="1"/>
  <c r="Z20" i="9" a="1"/>
  <c r="BK20" i="9" a="1"/>
  <c r="N20" i="9" a="1"/>
  <c r="K400" i="22"/>
  <c r="AQ24" i="9" a="1"/>
  <c r="AY24" i="9" a="1"/>
  <c r="Y21" i="9" a="1"/>
  <c r="K248" i="14"/>
  <c r="AE21" i="9" a="1"/>
  <c r="Q22" i="9" a="1"/>
  <c r="BO20" i="9" a="1"/>
  <c r="H20" i="9" a="1"/>
  <c r="BI23" i="9" a="1"/>
  <c r="CN24" i="9" a="1"/>
  <c r="CI23" i="9" a="1"/>
  <c r="G24" i="9" a="1"/>
  <c r="AG22" i="9" a="1"/>
  <c r="AJ21" i="9" a="1"/>
  <c r="BP23" i="9" a="1"/>
  <c r="BB23" i="9" a="1"/>
  <c r="AY20" i="9" a="1"/>
  <c r="N23" i="9" a="1"/>
  <c r="K362" i="22"/>
  <c r="P21" i="9" a="1"/>
  <c r="BN24" i="9" a="1"/>
  <c r="AY23" i="9" a="1"/>
  <c r="CB23" i="9" a="1"/>
  <c r="AM22" i="9" a="1"/>
  <c r="H21" i="9" a="1"/>
  <c r="K1768" i="22"/>
  <c r="AW22" i="9" a="1"/>
  <c r="AF23" i="9" a="1"/>
  <c r="AS20" i="9" a="1"/>
  <c r="K210" i="15"/>
  <c r="AA24" i="9" a="1"/>
  <c r="CN23" i="9" a="1"/>
  <c r="W24" i="9" a="1"/>
  <c r="AQ22" i="9" a="1"/>
  <c r="CB22" i="9" a="1"/>
  <c r="BD24" i="9" a="1"/>
  <c r="BY22" i="9" a="1"/>
  <c r="CR24" i="9" a="1"/>
  <c r="S20" i="9" a="1"/>
  <c r="CP20" i="9" a="1"/>
  <c r="AT23" i="9" a="1"/>
  <c r="CB20" i="9" a="1"/>
  <c r="AJ20" i="9" a="1"/>
  <c r="K20" i="15"/>
  <c r="K1350" i="22"/>
  <c r="BN20" i="9" a="1"/>
  <c r="BV20" i="9" a="1"/>
  <c r="AA21" i="9" a="1"/>
  <c r="AE24" i="9" a="1"/>
  <c r="K248" i="15"/>
  <c r="CH20" i="9" a="1"/>
  <c r="AR22" i="9" a="1"/>
  <c r="I23" i="9" a="1"/>
  <c r="AQ23" i="9" a="1"/>
  <c r="BB22" i="9" a="1"/>
  <c r="K894" i="22"/>
  <c r="K1692" i="22"/>
  <c r="CE22" i="9" a="1"/>
  <c r="AI24" i="9" a="1"/>
  <c r="K324" i="14"/>
  <c r="K666" i="14"/>
  <c r="BP21" i="9" a="1"/>
  <c r="AN21" i="9" a="1"/>
  <c r="BA21" i="9" a="1"/>
  <c r="CH23" i="9" a="1"/>
  <c r="K1540" i="22"/>
  <c r="G21" i="9" a="1"/>
  <c r="CG23" i="9" a="1"/>
  <c r="BR21" i="9" a="1"/>
  <c r="CC24" i="9" a="1"/>
  <c r="AS24" i="9" a="1"/>
  <c r="K248" i="22"/>
  <c r="CH22" i="9" a="1"/>
  <c r="BI21" i="9" a="1"/>
  <c r="AW20" i="9" a="1"/>
  <c r="BP24" i="9" l="1"/>
  <c r="BI24" i="9"/>
  <c r="AF24" i="9"/>
  <c r="I24" i="9"/>
  <c r="BU24" i="9"/>
  <c r="AZ24" i="9"/>
  <c r="N24" i="9"/>
  <c r="AT24" i="9"/>
  <c r="BZ24" i="9"/>
  <c r="S24" i="9"/>
  <c r="AY24" i="9"/>
  <c r="CE24" i="9"/>
  <c r="BY24" i="9"/>
  <c r="CI24" i="9"/>
  <c r="E24" i="9"/>
  <c r="BQ24" i="9"/>
  <c r="AN24" i="9"/>
  <c r="Q24" i="9"/>
  <c r="CC24" i="9"/>
  <c r="BH24" i="9"/>
  <c r="R24" i="9"/>
  <c r="AX24" i="9"/>
  <c r="CD24" i="9"/>
  <c r="W24" i="9"/>
  <c r="BC24" i="9"/>
  <c r="CJ24" i="9"/>
  <c r="BB24" i="9"/>
  <c r="U24" i="9"/>
  <c r="CH24" i="9"/>
  <c r="BD24" i="9"/>
  <c r="AG24" i="9"/>
  <c r="L24" i="9"/>
  <c r="BX24" i="9"/>
  <c r="Z24" i="9"/>
  <c r="BF24" i="9"/>
  <c r="CM24" i="9"/>
  <c r="AE24" i="9"/>
  <c r="BK24" i="9"/>
  <c r="CR24" i="9"/>
  <c r="CG24" i="9"/>
  <c r="DC7" i="19" s="1"/>
  <c r="M24" i="9"/>
  <c r="V24" i="9"/>
  <c r="AO24" i="9"/>
  <c r="AI24" i="9"/>
  <c r="AV24" i="9"/>
  <c r="AA24" i="9"/>
  <c r="AC24" i="9"/>
  <c r="T24" i="9"/>
  <c r="BO24" i="9"/>
  <c r="AK24" i="9"/>
  <c r="H24" i="9"/>
  <c r="BT24" i="9"/>
  <c r="AW24" i="9"/>
  <c r="AB24" i="9"/>
  <c r="CO24" i="9"/>
  <c r="AH24" i="9"/>
  <c r="BN24" i="9"/>
  <c r="G24" i="9"/>
  <c r="AM24" i="9"/>
  <c r="BS24" i="9"/>
  <c r="CL24" i="9"/>
  <c r="BG24" i="9"/>
  <c r="CP24" i="9"/>
  <c r="CF24" i="9"/>
  <c r="CQ24" i="9"/>
  <c r="AS24" i="9"/>
  <c r="P24" i="9"/>
  <c r="CB24" i="9"/>
  <c r="BE24" i="9"/>
  <c r="AJ24" i="9"/>
  <c r="F24" i="9"/>
  <c r="AL24" i="9"/>
  <c r="BR24" i="9"/>
  <c r="K24" i="9"/>
  <c r="AQ24" i="9"/>
  <c r="BW24" i="9"/>
  <c r="Y24" i="9"/>
  <c r="CN24" i="9"/>
  <c r="BL24" i="9"/>
  <c r="AD24" i="9"/>
  <c r="BJ24" i="9"/>
  <c r="BA24" i="9"/>
  <c r="X24" i="9"/>
  <c r="CK24" i="9"/>
  <c r="BM24" i="9"/>
  <c r="AR24" i="9"/>
  <c r="J24" i="9"/>
  <c r="AP24" i="9"/>
  <c r="BV24" i="9"/>
  <c r="O24" i="9"/>
  <c r="AU24" i="9"/>
  <c r="CA24" i="9"/>
  <c r="K14" i="21"/>
  <c r="M61" i="9"/>
  <c r="AS61" i="9"/>
  <c r="AD61" i="9"/>
  <c r="S61" i="9"/>
  <c r="X61" i="9"/>
  <c r="AV61" i="9"/>
  <c r="Q61" i="9"/>
  <c r="AW61" i="9"/>
  <c r="AH61" i="9"/>
  <c r="W61" i="9"/>
  <c r="H61" i="9"/>
  <c r="AF61" i="9"/>
  <c r="U61" i="9"/>
  <c r="F61" i="9"/>
  <c r="AL61" i="9"/>
  <c r="AA61" i="9"/>
  <c r="AJ61" i="9"/>
  <c r="P61" i="9"/>
  <c r="Y61" i="9"/>
  <c r="J61" i="9"/>
  <c r="AP61" i="9"/>
  <c r="AE61" i="9"/>
  <c r="T61" i="9"/>
  <c r="AR61" i="9"/>
  <c r="AC61" i="9"/>
  <c r="N61" i="9"/>
  <c r="AT61" i="9"/>
  <c r="AI61" i="9"/>
  <c r="E61" i="9"/>
  <c r="AN61" i="9"/>
  <c r="AB61" i="9"/>
  <c r="AG61" i="9"/>
  <c r="R61" i="9"/>
  <c r="G61" i="9"/>
  <c r="AM61" i="9"/>
  <c r="L61" i="9"/>
  <c r="AK61" i="9"/>
  <c r="V61" i="9"/>
  <c r="K61" i="9"/>
  <c r="AQ61" i="9"/>
  <c r="I61" i="9"/>
  <c r="AO61" i="9"/>
  <c r="Z61" i="9"/>
  <c r="O61" i="9"/>
  <c r="AU61" i="9"/>
  <c r="AV23" i="9"/>
  <c r="AA23" i="9"/>
  <c r="CN23" i="9"/>
  <c r="BP23" i="9"/>
  <c r="AM23" i="9"/>
  <c r="E23" i="9"/>
  <c r="AK23" i="9"/>
  <c r="BQ23" i="9"/>
  <c r="J23" i="9"/>
  <c r="AP23" i="9"/>
  <c r="BV23" i="9"/>
  <c r="BD23" i="9"/>
  <c r="AI23" i="9"/>
  <c r="L23" i="9"/>
  <c r="BX23" i="9"/>
  <c r="AU23" i="9"/>
  <c r="I23" i="9"/>
  <c r="AO23" i="9"/>
  <c r="BU23" i="9"/>
  <c r="N23" i="9"/>
  <c r="AT23" i="9"/>
  <c r="BZ23" i="9"/>
  <c r="BL23" i="9"/>
  <c r="AQ23" i="9"/>
  <c r="T23" i="9"/>
  <c r="CF23" i="9"/>
  <c r="BC23" i="9"/>
  <c r="M23" i="9"/>
  <c r="AS23" i="9"/>
  <c r="BY23" i="9"/>
  <c r="R23" i="9"/>
  <c r="AX23" i="9"/>
  <c r="CD23" i="9"/>
  <c r="H23" i="9"/>
  <c r="BT23" i="9"/>
  <c r="AY23" i="9"/>
  <c r="AB23" i="9"/>
  <c r="CO23" i="9"/>
  <c r="BK23" i="9"/>
  <c r="Q23" i="9"/>
  <c r="AW23" i="9"/>
  <c r="CC23" i="9"/>
  <c r="V23" i="9"/>
  <c r="BB23" i="9"/>
  <c r="CI23" i="9"/>
  <c r="P23" i="9"/>
  <c r="CB23" i="9"/>
  <c r="BG23" i="9"/>
  <c r="AJ23" i="9"/>
  <c r="G23" i="9"/>
  <c r="BS23" i="9"/>
  <c r="U23" i="9"/>
  <c r="BA23" i="9"/>
  <c r="CH23" i="9"/>
  <c r="Z23" i="9"/>
  <c r="BF23" i="9"/>
  <c r="CM23" i="9"/>
  <c r="X23" i="9"/>
  <c r="CK23" i="9"/>
  <c r="BO23" i="9"/>
  <c r="AR23" i="9"/>
  <c r="O23" i="9"/>
  <c r="CA23" i="9"/>
  <c r="Y23" i="9"/>
  <c r="BE23" i="9"/>
  <c r="CL23" i="9"/>
  <c r="AD23" i="9"/>
  <c r="BJ23" i="9"/>
  <c r="CQ23" i="9"/>
  <c r="AF23" i="9"/>
  <c r="K23" i="9"/>
  <c r="BW23" i="9"/>
  <c r="AZ23" i="9"/>
  <c r="W23" i="9"/>
  <c r="CJ23" i="9"/>
  <c r="AC23" i="9"/>
  <c r="BI23" i="9"/>
  <c r="CP23" i="9"/>
  <c r="AH23" i="9"/>
  <c r="BN23" i="9"/>
  <c r="AN23" i="9"/>
  <c r="S23" i="9"/>
  <c r="CE23" i="9"/>
  <c r="BH23" i="9"/>
  <c r="AE23" i="9"/>
  <c r="CR23" i="9"/>
  <c r="AG23" i="9"/>
  <c r="BM23" i="9"/>
  <c r="F23" i="9"/>
  <c r="AL23" i="9"/>
  <c r="BR23" i="9"/>
  <c r="CG23" i="9"/>
  <c r="DC6" i="19" s="1"/>
  <c r="AA22" i="9"/>
  <c r="CN22" i="9"/>
  <c r="BJ22" i="9"/>
  <c r="AE22" i="9"/>
  <c r="CR22" i="9"/>
  <c r="BN22" i="9"/>
  <c r="X22" i="9"/>
  <c r="BD22" i="9"/>
  <c r="CK22" i="9"/>
  <c r="AC22" i="9"/>
  <c r="BI22" i="9"/>
  <c r="CP22" i="9"/>
  <c r="AI22" i="9"/>
  <c r="F22" i="9"/>
  <c r="BR22" i="9"/>
  <c r="AM22" i="9"/>
  <c r="J22" i="9"/>
  <c r="BV22" i="9"/>
  <c r="AB22" i="9"/>
  <c r="BH22" i="9"/>
  <c r="CO22" i="9"/>
  <c r="AG22" i="9"/>
  <c r="BM22" i="9"/>
  <c r="AQ22" i="9"/>
  <c r="N22" i="9"/>
  <c r="BZ22" i="9"/>
  <c r="AU22" i="9"/>
  <c r="R22" i="9"/>
  <c r="CD22" i="9"/>
  <c r="AF22" i="9"/>
  <c r="BL22" i="9"/>
  <c r="E22" i="9"/>
  <c r="AK22" i="9"/>
  <c r="BQ22" i="9"/>
  <c r="AY22" i="9"/>
  <c r="V22" i="9"/>
  <c r="CI22" i="9"/>
  <c r="BC22" i="9"/>
  <c r="Z22" i="9"/>
  <c r="CM22" i="9"/>
  <c r="AJ22" i="9"/>
  <c r="BP22" i="9"/>
  <c r="I22" i="9"/>
  <c r="AO22" i="9"/>
  <c r="BU22" i="9"/>
  <c r="BG22" i="9"/>
  <c r="AD22" i="9"/>
  <c r="CQ22" i="9"/>
  <c r="BK22" i="9"/>
  <c r="AH22" i="9"/>
  <c r="H22" i="9"/>
  <c r="AN22" i="9"/>
  <c r="BT22" i="9"/>
  <c r="M22" i="9"/>
  <c r="AS22" i="9"/>
  <c r="BY22" i="9"/>
  <c r="BO22" i="9"/>
  <c r="AL22" i="9"/>
  <c r="G22" i="9"/>
  <c r="BS22" i="9"/>
  <c r="AP22" i="9"/>
  <c r="L22" i="9"/>
  <c r="AR22" i="9"/>
  <c r="BX22" i="9"/>
  <c r="Q22" i="9"/>
  <c r="AW22" i="9"/>
  <c r="CC22" i="9"/>
  <c r="K22" i="9"/>
  <c r="BW22" i="9"/>
  <c r="AT22" i="9"/>
  <c r="O22" i="9"/>
  <c r="CA22" i="9"/>
  <c r="AX22" i="9"/>
  <c r="P22" i="9"/>
  <c r="AV22" i="9"/>
  <c r="CB22" i="9"/>
  <c r="U22" i="9"/>
  <c r="BA22" i="9"/>
  <c r="CH22" i="9"/>
  <c r="S22" i="9"/>
  <c r="CE22" i="9"/>
  <c r="BB22" i="9"/>
  <c r="W22" i="9"/>
  <c r="CJ22" i="9"/>
  <c r="BF22" i="9"/>
  <c r="T22" i="9"/>
  <c r="AZ22" i="9"/>
  <c r="CF22" i="9"/>
  <c r="Y22" i="9"/>
  <c r="BE22" i="9"/>
  <c r="CL22" i="9"/>
  <c r="CG22" i="9"/>
  <c r="DC5" i="19" s="1"/>
  <c r="AD21" i="9"/>
  <c r="CQ21" i="9"/>
  <c r="BM21" i="9"/>
  <c r="AP21" i="9"/>
  <c r="M21" i="9"/>
  <c r="BY21" i="9"/>
  <c r="AA21" i="9"/>
  <c r="BG21" i="9"/>
  <c r="CN21" i="9"/>
  <c r="AF21" i="9"/>
  <c r="BL21" i="9"/>
  <c r="AL21" i="9"/>
  <c r="I21" i="9"/>
  <c r="BU21" i="9"/>
  <c r="AX21" i="9"/>
  <c r="U21" i="9"/>
  <c r="CH21" i="9"/>
  <c r="AE21" i="9"/>
  <c r="BK21" i="9"/>
  <c r="CR21" i="9"/>
  <c r="AJ21" i="9"/>
  <c r="BP21" i="9"/>
  <c r="AT21" i="9"/>
  <c r="Q21" i="9"/>
  <c r="CC21" i="9"/>
  <c r="BF21" i="9"/>
  <c r="AC21" i="9"/>
  <c r="CP21" i="9"/>
  <c r="AI21" i="9"/>
  <c r="BO21" i="9"/>
  <c r="H21" i="9"/>
  <c r="AN21" i="9"/>
  <c r="BT21" i="9"/>
  <c r="BB21" i="9"/>
  <c r="Y21" i="9"/>
  <c r="CL21" i="9"/>
  <c r="BN21" i="9"/>
  <c r="AK21" i="9"/>
  <c r="G21" i="9"/>
  <c r="AM21" i="9"/>
  <c r="BS21" i="9"/>
  <c r="L21" i="9"/>
  <c r="AR21" i="9"/>
  <c r="BX21" i="9"/>
  <c r="BJ21" i="9"/>
  <c r="AG21" i="9"/>
  <c r="J21" i="9"/>
  <c r="BV21" i="9"/>
  <c r="AS21" i="9"/>
  <c r="K21" i="9"/>
  <c r="AQ21" i="9"/>
  <c r="BW21" i="9"/>
  <c r="P21" i="9"/>
  <c r="AV21" i="9"/>
  <c r="CB21" i="9"/>
  <c r="F21" i="9"/>
  <c r="BR21" i="9"/>
  <c r="AO21" i="9"/>
  <c r="R21" i="9"/>
  <c r="CD21" i="9"/>
  <c r="BA21" i="9"/>
  <c r="O21" i="9"/>
  <c r="AU21" i="9"/>
  <c r="CA21" i="9"/>
  <c r="T21" i="9"/>
  <c r="AZ21" i="9"/>
  <c r="CF21" i="9"/>
  <c r="N21" i="9"/>
  <c r="BZ21" i="9"/>
  <c r="AW21" i="9"/>
  <c r="Z21" i="9"/>
  <c r="CM21" i="9"/>
  <c r="BI21" i="9"/>
  <c r="S21" i="9"/>
  <c r="AY21" i="9"/>
  <c r="CE21" i="9"/>
  <c r="X21" i="9"/>
  <c r="BD21" i="9"/>
  <c r="CK21" i="9"/>
  <c r="CG21" i="9"/>
  <c r="DC4" i="19" s="1"/>
  <c r="V21" i="9"/>
  <c r="CI21" i="9"/>
  <c r="BE21" i="9"/>
  <c r="AH21" i="9"/>
  <c r="E21" i="9"/>
  <c r="BQ21" i="9"/>
  <c r="W21" i="9"/>
  <c r="BC21" i="9"/>
  <c r="CJ21" i="9"/>
  <c r="AB21" i="9"/>
  <c r="BH21" i="9"/>
  <c r="CO21" i="9"/>
  <c r="BH20" i="9"/>
  <c r="BG20" i="9"/>
  <c r="BM20" i="9"/>
  <c r="AR20" i="9"/>
  <c r="M20" i="9"/>
  <c r="BY20" i="9"/>
  <c r="AV20" i="9"/>
  <c r="N20" i="9"/>
  <c r="AT20" i="9"/>
  <c r="BZ20" i="9"/>
  <c r="S20" i="9"/>
  <c r="AY20" i="9"/>
  <c r="CE20" i="9"/>
  <c r="AC20" i="9"/>
  <c r="AA20" i="9"/>
  <c r="K14" i="5"/>
  <c r="I20" i="9"/>
  <c r="BU20" i="9"/>
  <c r="AZ20" i="9"/>
  <c r="U20" i="9"/>
  <c r="CH20" i="9"/>
  <c r="BD20" i="9"/>
  <c r="R20" i="9"/>
  <c r="AX20" i="9"/>
  <c r="CD20" i="9"/>
  <c r="W20" i="9"/>
  <c r="BC20" i="9"/>
  <c r="CJ20" i="9"/>
  <c r="CC20" i="9"/>
  <c r="CI20" i="9"/>
  <c r="K14" i="18"/>
  <c r="Y20" i="9"/>
  <c r="CL20" i="9"/>
  <c r="BP20" i="9"/>
  <c r="AK20" i="9"/>
  <c r="H20" i="9"/>
  <c r="BT20" i="9"/>
  <c r="Z20" i="9"/>
  <c r="BF20" i="9"/>
  <c r="CM20" i="9"/>
  <c r="AE20" i="9"/>
  <c r="BK20" i="9"/>
  <c r="CR20" i="9"/>
  <c r="BL20" i="9"/>
  <c r="AG20" i="9"/>
  <c r="L20" i="9"/>
  <c r="BX20" i="9"/>
  <c r="AS20" i="9"/>
  <c r="P20" i="9"/>
  <c r="CB20" i="9"/>
  <c r="AD20" i="9"/>
  <c r="BJ20" i="9"/>
  <c r="CQ20" i="9"/>
  <c r="AI20" i="9"/>
  <c r="BO20" i="9"/>
  <c r="K14" i="22"/>
  <c r="K14" i="15"/>
  <c r="BB20" i="9"/>
  <c r="AO20" i="9"/>
  <c r="T20" i="9"/>
  <c r="CF20" i="9"/>
  <c r="BA20" i="9"/>
  <c r="X20" i="9"/>
  <c r="CK20" i="9"/>
  <c r="AH20" i="9"/>
  <c r="BN20" i="9"/>
  <c r="G20" i="9"/>
  <c r="AM20" i="9"/>
  <c r="BS20" i="9"/>
  <c r="V20" i="9"/>
  <c r="AW20" i="9"/>
  <c r="AB20" i="9"/>
  <c r="CO20" i="9"/>
  <c r="BI20" i="9"/>
  <c r="AF20" i="9"/>
  <c r="F20" i="9"/>
  <c r="AL20" i="9"/>
  <c r="BR20" i="9"/>
  <c r="K20" i="9"/>
  <c r="AQ20" i="9"/>
  <c r="BW20" i="9"/>
  <c r="Q20" i="9"/>
  <c r="CP20" i="9"/>
  <c r="CN20" i="9"/>
  <c r="BE20" i="9"/>
  <c r="AJ20" i="9"/>
  <c r="E20" i="9"/>
  <c r="BQ20" i="9"/>
  <c r="AN20" i="9"/>
  <c r="J20" i="9"/>
  <c r="AP20" i="9"/>
  <c r="BV20" i="9"/>
  <c r="O20" i="9"/>
  <c r="AU20" i="9"/>
  <c r="CA20"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P8" i="9"/>
  <c r="P9" i="9"/>
  <c r="L10"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E96" i="9"/>
  <c r="M96" i="9"/>
  <c r="O96" i="9"/>
  <c r="AJ96" i="9"/>
  <c r="T96" i="9"/>
  <c r="V96" i="9"/>
  <c r="K96" i="9"/>
  <c r="Y96" i="9"/>
  <c r="AA96" i="9"/>
  <c r="AP96" i="9"/>
  <c r="AF96" i="9"/>
  <c r="AB96" i="9"/>
  <c r="Q96" i="9"/>
  <c r="AK96" i="9"/>
  <c r="AM96" i="9"/>
  <c r="AV96" i="9"/>
  <c r="I96" i="9"/>
  <c r="AH96" i="9"/>
  <c r="W96" i="9"/>
  <c r="AW96" i="9"/>
  <c r="F96" i="9"/>
  <c r="G96" i="9"/>
  <c r="U96" i="9"/>
  <c r="AN96" i="9"/>
  <c r="AC96" i="9"/>
  <c r="N96" i="9"/>
  <c r="L96" i="9"/>
  <c r="S96" i="9"/>
  <c r="AG96" i="9"/>
  <c r="AT96" i="9"/>
  <c r="AI96" i="9"/>
  <c r="Z96" i="9"/>
  <c r="R96" i="9"/>
  <c r="AE96" i="9"/>
  <c r="AS96" i="9"/>
  <c r="AO96" i="9"/>
  <c r="AL96" i="9"/>
  <c r="X96" i="9"/>
  <c r="AQ96" i="9"/>
  <c r="J96" i="9"/>
  <c r="AU96" i="9"/>
  <c r="AR96" i="9"/>
  <c r="AD96" i="9"/>
  <c r="H96" i="9"/>
  <c r="P96" i="9"/>
  <c r="I55" i="9"/>
  <c r="J96" i="14"/>
  <c r="H400" i="14"/>
  <c r="J324" i="14"/>
  <c r="I666" i="14"/>
  <c r="H210" i="14"/>
  <c r="AA55" i="9"/>
  <c r="F666" i="14"/>
  <c r="G96" i="14"/>
  <c r="I1692" i="21"/>
  <c r="BJ55" i="9"/>
  <c r="J210" i="14"/>
  <c r="AT55" i="9"/>
  <c r="G1692" i="21"/>
  <c r="BA55" i="9"/>
  <c r="H172" i="14"/>
  <c r="CA55" i="9"/>
  <c r="CN55" i="9"/>
  <c r="CG55" i="9"/>
  <c r="H172" i="15"/>
  <c r="G704" i="14"/>
  <c r="G248" i="14"/>
  <c r="F172" i="15"/>
  <c r="AW55" i="9"/>
  <c r="BV55" i="9"/>
  <c r="BB55" i="9"/>
  <c r="I324" i="14"/>
  <c r="I134" i="14"/>
  <c r="J55" i="9"/>
  <c r="G666" i="14"/>
  <c r="BR55" i="9"/>
  <c r="F1692" i="21"/>
  <c r="F134" i="15"/>
  <c r="AU55" i="9"/>
  <c r="L55" i="9"/>
  <c r="CK55" i="9"/>
  <c r="G400" i="14"/>
  <c r="BL55" i="9"/>
  <c r="G134" i="15"/>
  <c r="AM55" i="9"/>
  <c r="J704" i="14"/>
  <c r="AX55" i="9"/>
  <c r="AZ55" i="9"/>
  <c r="J172" i="15"/>
  <c r="I1882" i="22"/>
  <c r="I172" i="15"/>
  <c r="BY55" i="9"/>
  <c r="BQ55" i="9"/>
  <c r="BT55" i="9"/>
  <c r="H324" i="14"/>
  <c r="AG55" i="9"/>
  <c r="Q55" i="9"/>
  <c r="AR55" i="9"/>
  <c r="F1882" i="22"/>
  <c r="H134" i="15"/>
  <c r="O55" i="9"/>
  <c r="F514" i="14"/>
  <c r="AL55" i="9"/>
  <c r="J362" i="14"/>
  <c r="BO55" i="9"/>
  <c r="CD55" i="9"/>
  <c r="H362" i="14"/>
  <c r="CI55" i="9"/>
  <c r="AB55" i="9"/>
  <c r="F704" i="14"/>
  <c r="N55" i="9"/>
  <c r="I96" i="14"/>
  <c r="CP55" i="9"/>
  <c r="BC55" i="9"/>
  <c r="AP55" i="9"/>
  <c r="BI55" i="9"/>
  <c r="Y55" i="9"/>
  <c r="V55" i="9"/>
  <c r="G628" i="14"/>
  <c r="J134" i="15"/>
  <c r="H134" i="14"/>
  <c r="U55" i="9"/>
  <c r="J1882" i="22"/>
  <c r="F172" i="14"/>
  <c r="F324" i="14"/>
  <c r="G210" i="14"/>
  <c r="F210" i="14"/>
  <c r="CJ55" i="9"/>
  <c r="F400" i="14"/>
  <c r="T55" i="9"/>
  <c r="J514" i="14"/>
  <c r="CQ55" i="9"/>
  <c r="H248" i="14"/>
  <c r="J286" i="14"/>
  <c r="I248" i="14"/>
  <c r="H704" i="14"/>
  <c r="I704" i="14"/>
  <c r="F628" i="14"/>
  <c r="CF55" i="9"/>
  <c r="AD55" i="9"/>
  <c r="K55" i="9"/>
  <c r="W55" i="9"/>
  <c r="H1882" i="22"/>
  <c r="I172" i="14"/>
  <c r="Z55" i="9"/>
  <c r="H628" i="14"/>
  <c r="AE55" i="9"/>
  <c r="I628" i="14"/>
  <c r="CH55" i="9"/>
  <c r="BD55" i="9"/>
  <c r="S55" i="9"/>
  <c r="CB55" i="9"/>
  <c r="H514" i="14"/>
  <c r="AF55" i="9"/>
  <c r="F248" i="14"/>
  <c r="R55" i="9"/>
  <c r="H96" i="14"/>
  <c r="BE55" i="9"/>
  <c r="I134" i="15"/>
  <c r="F134" i="14"/>
  <c r="F96" i="14"/>
  <c r="CC55" i="9"/>
  <c r="G172" i="15"/>
  <c r="E55" i="9"/>
  <c r="J400" i="14"/>
  <c r="H55" i="9"/>
  <c r="BS55" i="9"/>
  <c r="H666" i="14"/>
  <c r="X55" i="9"/>
  <c r="G362" i="14"/>
  <c r="J172" i="14"/>
  <c r="F286" i="14"/>
  <c r="BK55" i="9"/>
  <c r="BF55" i="9"/>
  <c r="F362" i="14"/>
  <c r="G134" i="14"/>
  <c r="G55" i="9"/>
  <c r="AH55" i="9"/>
  <c r="G172" i="14"/>
  <c r="I362" i="14"/>
  <c r="CM55" i="9"/>
  <c r="AV55" i="9"/>
  <c r="AC55" i="9"/>
  <c r="BH55" i="9"/>
  <c r="J1692" i="21"/>
  <c r="BM55" i="9"/>
  <c r="F55" i="9"/>
  <c r="AI55" i="9"/>
  <c r="CO55" i="9"/>
  <c r="AJ55" i="9"/>
  <c r="J628" i="14"/>
  <c r="CL55" i="9"/>
  <c r="AK55" i="9"/>
  <c r="I514" i="14"/>
  <c r="G514" i="14"/>
  <c r="BP55" i="9"/>
  <c r="J666" i="14"/>
  <c r="CE55" i="9"/>
  <c r="AQ55" i="9"/>
  <c r="J248" i="14"/>
  <c r="AS55" i="9"/>
  <c r="G1882" i="22"/>
  <c r="I210" i="14"/>
  <c r="I400" i="14"/>
  <c r="AN55" i="9"/>
  <c r="BN55" i="9"/>
  <c r="BX55" i="9"/>
  <c r="H1692" i="21"/>
  <c r="J134" i="14"/>
  <c r="I286" i="14"/>
  <c r="P55" i="9"/>
  <c r="BW55" i="9"/>
  <c r="BZ55" i="9"/>
  <c r="BU55" i="9"/>
  <c r="M55" i="9"/>
  <c r="G324" i="14"/>
  <c r="G286" i="14"/>
  <c r="CR55" i="9"/>
  <c r="BG55" i="9"/>
  <c r="AO55" i="9"/>
  <c r="H286" i="14"/>
  <c r="AY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008" i="22"/>
  <c r="J970" i="21"/>
  <c r="I1426" i="22"/>
  <c r="H1844" i="22"/>
  <c r="F1426" i="22"/>
  <c r="G1350" i="21"/>
  <c r="I970" i="21"/>
  <c r="F1654" i="21"/>
  <c r="F1008" i="22"/>
  <c r="I1844" i="22"/>
  <c r="J1578" i="22"/>
  <c r="F1844" i="22"/>
  <c r="F1578" i="22"/>
  <c r="I1008" i="22"/>
  <c r="I1122" i="22"/>
  <c r="F1350" i="21"/>
  <c r="H1578" i="22"/>
  <c r="H970" i="21"/>
  <c r="I1616" i="21"/>
  <c r="J1654" i="21"/>
  <c r="G1008" i="22"/>
  <c r="F1616" i="21"/>
  <c r="J1844" i="22"/>
  <c r="H1540" i="22"/>
  <c r="H1616" i="21"/>
  <c r="G1578" i="22"/>
  <c r="G970" i="21"/>
  <c r="I970" i="22"/>
  <c r="I1350" i="21"/>
  <c r="F970" i="21"/>
  <c r="H1426" i="22"/>
  <c r="G1426" i="22"/>
  <c r="G1844" i="22"/>
  <c r="G1616" i="21"/>
  <c r="I1540" i="22"/>
  <c r="I1578" i="22"/>
  <c r="J1008" i="22"/>
  <c r="J1350" i="21"/>
  <c r="G970" i="22"/>
  <c r="G1654" i="21"/>
  <c r="H1350" i="21"/>
  <c r="H970" i="22"/>
  <c r="J970" i="22"/>
  <c r="J1616" i="21"/>
  <c r="H1122" i="22"/>
  <c r="J1122" i="22"/>
  <c r="F1122" i="22"/>
  <c r="F970" i="22"/>
  <c r="F1540" i="22"/>
  <c r="J1540" i="22"/>
  <c r="G1122" i="22"/>
  <c r="J1426" i="22"/>
  <c r="G1540" i="22"/>
  <c r="I1654" i="21"/>
  <c r="H1654"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438" i="21"/>
  <c r="H96" i="18"/>
  <c r="F704" i="22"/>
  <c r="I856" i="21"/>
  <c r="I552" i="22"/>
  <c r="H20" i="14"/>
  <c r="H742" i="22"/>
  <c r="F628" i="22"/>
  <c r="H1160" i="22"/>
  <c r="G628" i="22"/>
  <c r="I20" i="14"/>
  <c r="G666" i="22"/>
  <c r="G1236" i="21"/>
  <c r="H438" i="22"/>
  <c r="J666" i="21"/>
  <c r="G514" i="22"/>
  <c r="F1692" i="22"/>
  <c r="G1312" i="21"/>
  <c r="F96" i="13"/>
  <c r="G704" i="22"/>
  <c r="J1464" i="22"/>
  <c r="G362" i="21"/>
  <c r="H1388" i="21"/>
  <c r="F438" i="14"/>
  <c r="H552" i="14"/>
  <c r="H286" i="21"/>
  <c r="H362" i="22"/>
  <c r="G894" i="22"/>
  <c r="I438" i="22"/>
  <c r="I20" i="13"/>
  <c r="F286" i="15"/>
  <c r="G134" i="5"/>
  <c r="F1388" i="22"/>
  <c r="J932" i="21"/>
  <c r="G172" i="18"/>
  <c r="J1046" i="21"/>
  <c r="G172" i="5"/>
  <c r="J1730" i="22"/>
  <c r="H96" i="21"/>
  <c r="J1160" i="21"/>
  <c r="G400" i="22"/>
  <c r="I476" i="14"/>
  <c r="G1692" i="22"/>
  <c r="I362" i="21"/>
  <c r="I248" i="22"/>
  <c r="F666" i="21"/>
  <c r="F1312" i="22"/>
  <c r="J590" i="14"/>
  <c r="J1198" i="21"/>
  <c r="G438" i="22"/>
  <c r="I20" i="18"/>
  <c r="F590" i="21"/>
  <c r="F894" i="22"/>
  <c r="G96" i="18"/>
  <c r="F1350" i="22"/>
  <c r="F1616" i="22"/>
  <c r="J172" i="22"/>
  <c r="F552" i="22"/>
  <c r="G248" i="21"/>
  <c r="J172" i="21"/>
  <c r="H1274" i="21"/>
  <c r="J400" i="21"/>
  <c r="F438" i="22"/>
  <c r="I210" i="15"/>
  <c r="H894" i="22"/>
  <c r="F1730" i="22"/>
  <c r="F58" i="5"/>
  <c r="G20" i="18"/>
  <c r="I1236" i="21"/>
  <c r="H172" i="21"/>
  <c r="I1160" i="21"/>
  <c r="J856" i="22"/>
  <c r="G818" i="22"/>
  <c r="F894" i="21"/>
  <c r="I20" i="21"/>
  <c r="G1502" i="21"/>
  <c r="G476" i="22"/>
  <c r="G20" i="15"/>
  <c r="F20" i="21"/>
  <c r="F20" i="15"/>
  <c r="I1122" i="21"/>
  <c r="J210" i="22"/>
  <c r="H438" i="14"/>
  <c r="I1806" i="22"/>
  <c r="J20" i="13"/>
  <c r="J590" i="22"/>
  <c r="H780" i="22"/>
  <c r="F476" i="21"/>
  <c r="G856" i="21"/>
  <c r="J172" i="5"/>
  <c r="G590" i="21"/>
  <c r="H666" i="21"/>
  <c r="H1350" i="22"/>
  <c r="I1768" i="22"/>
  <c r="F1426" i="21"/>
  <c r="J666" i="22"/>
  <c r="G1502" i="22"/>
  <c r="I742" i="21"/>
  <c r="I1502" i="21"/>
  <c r="G20" i="22"/>
  <c r="J628" i="22"/>
  <c r="J476" i="21"/>
  <c r="G96" i="13"/>
  <c r="F1312" i="21"/>
  <c r="J172" i="18"/>
  <c r="I172" i="21"/>
  <c r="G210" i="5"/>
  <c r="I1464" i="21"/>
  <c r="I58" i="18"/>
  <c r="H1236" i="21"/>
  <c r="F96" i="5"/>
  <c r="I1312" i="21"/>
  <c r="J1540" i="21"/>
  <c r="I780" i="22"/>
  <c r="I20" i="5"/>
  <c r="I1578" i="21"/>
  <c r="I856" i="22"/>
  <c r="H704" i="22"/>
  <c r="J286" i="15"/>
  <c r="H172" i="5"/>
  <c r="G362" i="22"/>
  <c r="I628" i="22"/>
  <c r="I96" i="21"/>
  <c r="H514" i="22"/>
  <c r="F1198" i="21"/>
  <c r="H248" i="21"/>
  <c r="H1312" i="21"/>
  <c r="J20" i="22"/>
  <c r="H514" i="21"/>
  <c r="I172" i="22"/>
  <c r="F58" i="13"/>
  <c r="H1312" i="22"/>
  <c r="I590" i="22"/>
  <c r="H1806" i="22"/>
  <c r="F362" i="22"/>
  <c r="F324" i="21"/>
  <c r="J742" i="22"/>
  <c r="H210" i="22"/>
  <c r="G552" i="22"/>
  <c r="I1692" i="22"/>
  <c r="H1692" i="22"/>
  <c r="I1388" i="21"/>
  <c r="H1084" i="22"/>
  <c r="I400" i="21"/>
  <c r="I1236" i="22"/>
  <c r="H20" i="22"/>
  <c r="I438" i="21"/>
  <c r="H58" i="21"/>
  <c r="G58" i="22"/>
  <c r="J438" i="14"/>
  <c r="G932" i="22"/>
  <c r="H590" i="14"/>
  <c r="F1198" i="22"/>
  <c r="J514" i="21"/>
  <c r="F780" i="22"/>
  <c r="I438" i="14"/>
  <c r="G286" i="15"/>
  <c r="F742" i="21"/>
  <c r="J96" i="21"/>
  <c r="G210" i="15"/>
  <c r="I58" i="22"/>
  <c r="J780" i="21"/>
  <c r="J1502" i="21"/>
  <c r="G856" i="22"/>
  <c r="G1388" i="22"/>
  <c r="H552" i="21"/>
  <c r="G1616" i="22"/>
  <c r="I134" i="21"/>
  <c r="H20" i="15"/>
  <c r="F1768" i="22"/>
  <c r="G134" i="21"/>
  <c r="H590" i="21"/>
  <c r="F666" i="22"/>
  <c r="H58" i="5"/>
  <c r="J58" i="14"/>
  <c r="I894" i="22"/>
  <c r="J210" i="21"/>
  <c r="J1008" i="21"/>
  <c r="J210" i="15"/>
  <c r="J1236" i="21"/>
  <c r="H476" i="21"/>
  <c r="J134" i="5"/>
  <c r="F286" i="21"/>
  <c r="F1806" i="22"/>
  <c r="J514" i="22"/>
  <c r="I1540" i="21"/>
  <c r="I552" i="21"/>
  <c r="H856" i="21"/>
  <c r="F1654" i="22"/>
  <c r="H58" i="15"/>
  <c r="H248" i="22"/>
  <c r="H1122" i="21"/>
  <c r="G58" i="21"/>
  <c r="J58" i="15"/>
  <c r="F780" i="21"/>
  <c r="G134" i="18"/>
  <c r="F476" i="22"/>
  <c r="J476" i="22"/>
  <c r="G58" i="13"/>
  <c r="J286" i="21"/>
  <c r="J552" i="14"/>
  <c r="G1768" i="22"/>
  <c r="J1274" i="21"/>
  <c r="G1198" i="21"/>
  <c r="G172" i="22"/>
  <c r="G1236" i="22"/>
  <c r="H666" i="22"/>
  <c r="I666" i="22"/>
  <c r="F210" i="21"/>
  <c r="H1464" i="21"/>
  <c r="G742" i="21"/>
  <c r="G1008" i="21"/>
  <c r="J58" i="13"/>
  <c r="J742" i="21"/>
  <c r="I704" i="21"/>
  <c r="H210" i="21"/>
  <c r="I1730" i="22"/>
  <c r="J932" i="22"/>
  <c r="H286" i="15"/>
  <c r="G58" i="14"/>
  <c r="H172" i="22"/>
  <c r="F1274" i="22"/>
  <c r="J1426" i="21"/>
  <c r="G1464" i="21"/>
  <c r="J20" i="15"/>
  <c r="H1540" i="21"/>
  <c r="G210" i="21"/>
  <c r="F1160" i="22"/>
  <c r="I324" i="22"/>
  <c r="I1274" i="21"/>
  <c r="I1426" i="21"/>
  <c r="I286" i="21"/>
  <c r="J590" i="21"/>
  <c r="H324" i="21"/>
  <c r="F704" i="21"/>
  <c r="J1312" i="22"/>
  <c r="H1730" i="22"/>
  <c r="G1122" i="21"/>
  <c r="I1084" i="21"/>
  <c r="J134" i="18"/>
  <c r="J628" i="21"/>
  <c r="J210" i="5"/>
  <c r="I742" i="22"/>
  <c r="J1502" i="22"/>
  <c r="H476" i="14"/>
  <c r="I286" i="22"/>
  <c r="F514" i="21"/>
  <c r="F552" i="21"/>
  <c r="J1350" i="22"/>
  <c r="F96" i="22"/>
  <c r="J96" i="13"/>
  <c r="G96" i="15"/>
  <c r="F628" i="21"/>
  <c r="J1084" i="21"/>
  <c r="H1046" i="22"/>
  <c r="F96" i="15"/>
  <c r="J1806" i="22"/>
  <c r="I1198" i="21"/>
  <c r="F1084" i="22"/>
  <c r="H1768" i="22"/>
  <c r="H20" i="21"/>
  <c r="F400" i="21"/>
  <c r="H818" i="21"/>
  <c r="G58" i="5"/>
  <c r="H932" i="22"/>
  <c r="F476" i="14"/>
  <c r="F172" i="18"/>
  <c r="J324" i="21"/>
  <c r="G1160" i="21"/>
  <c r="I58" i="5"/>
  <c r="G1274" i="22"/>
  <c r="I628" i="21"/>
  <c r="F1578" i="21"/>
  <c r="H742" i="21"/>
  <c r="F400" i="22"/>
  <c r="F58" i="15"/>
  <c r="F20" i="5"/>
  <c r="G1540" i="21"/>
  <c r="I1654" i="22"/>
  <c r="I1008" i="21"/>
  <c r="J1198" i="22"/>
  <c r="F818" i="22"/>
  <c r="J704" i="22"/>
  <c r="H1198" i="21"/>
  <c r="G932" i="21"/>
  <c r="I210" i="21"/>
  <c r="H58" i="13"/>
  <c r="G552" i="21"/>
  <c r="J20" i="21"/>
  <c r="F134" i="5"/>
  <c r="G96" i="22"/>
  <c r="F20" i="13"/>
  <c r="H1274" i="22"/>
  <c r="I286" i="15"/>
  <c r="F1236" i="21"/>
  <c r="F20" i="22"/>
  <c r="I134" i="22"/>
  <c r="J20" i="5"/>
  <c r="I1160" i="22"/>
  <c r="F856" i="22"/>
  <c r="F552" i="14"/>
  <c r="H58" i="22"/>
  <c r="F932" i="21"/>
  <c r="I134" i="18"/>
  <c r="G1388" i="21"/>
  <c r="F58" i="18"/>
  <c r="G1046" i="22"/>
  <c r="I1388" i="22"/>
  <c r="G96" i="5"/>
  <c r="G552" i="14"/>
  <c r="G210" i="22"/>
  <c r="G514" i="21"/>
  <c r="G1654" i="22"/>
  <c r="F1008" i="21"/>
  <c r="G58" i="15"/>
  <c r="H780" i="21"/>
  <c r="F1274" i="21"/>
  <c r="I932" i="21"/>
  <c r="H894" i="21"/>
  <c r="J1616" i="22"/>
  <c r="F1046" i="21"/>
  <c r="H134" i="18"/>
  <c r="H96" i="22"/>
  <c r="F210" i="5"/>
  <c r="H628" i="22"/>
  <c r="I58" i="13"/>
  <c r="I590" i="14"/>
  <c r="G172" i="21"/>
  <c r="H1008" i="21"/>
  <c r="I96" i="5"/>
  <c r="I210" i="5"/>
  <c r="H1654" i="22"/>
  <c r="J704" i="21"/>
  <c r="H552" i="22"/>
  <c r="G286" i="21"/>
  <c r="H476" i="22"/>
  <c r="I666" i="21"/>
  <c r="H400" i="21"/>
  <c r="F742" i="22"/>
  <c r="H248" i="15"/>
  <c r="H286" i="22"/>
  <c r="I248" i="15"/>
  <c r="J20" i="14"/>
  <c r="H590" i="22"/>
  <c r="J324" i="22"/>
  <c r="H1388" i="22"/>
  <c r="G894" i="21"/>
  <c r="I1198" i="22"/>
  <c r="H438" i="21"/>
  <c r="G20" i="13"/>
  <c r="F58" i="22"/>
  <c r="H96" i="13"/>
  <c r="H134" i="5"/>
  <c r="G476" i="21"/>
  <c r="I1350" i="22"/>
  <c r="I1084" i="22"/>
  <c r="G1198" i="22"/>
  <c r="H20" i="18"/>
  <c r="J1768" i="22"/>
  <c r="F1160" i="21"/>
  <c r="J248" i="15"/>
  <c r="J58" i="18"/>
  <c r="G58" i="18"/>
  <c r="I400" i="22"/>
  <c r="G324" i="21"/>
  <c r="J818" i="22"/>
  <c r="F1122" i="21"/>
  <c r="F20" i="18"/>
  <c r="J1388" i="21"/>
  <c r="F134" i="21"/>
  <c r="I514" i="22"/>
  <c r="F96" i="18"/>
  <c r="I58" i="21"/>
  <c r="H400" i="22"/>
  <c r="G248" i="22"/>
  <c r="G704" i="21"/>
  <c r="F58" i="21"/>
  <c r="G780" i="21"/>
  <c r="J894" i="22"/>
  <c r="I248" i="21"/>
  <c r="F1502" i="22"/>
  <c r="F248" i="21"/>
  <c r="F210" i="15"/>
  <c r="H1084" i="21"/>
  <c r="G1312" i="22"/>
  <c r="F1388" i="21"/>
  <c r="I476" i="22"/>
  <c r="G438" i="21"/>
  <c r="I58" i="15"/>
  <c r="H1160" i="21"/>
  <c r="I476" i="21"/>
  <c r="H1464" i="22"/>
  <c r="J1654" i="22"/>
  <c r="I780" i="21"/>
  <c r="F172" i="5"/>
  <c r="H20" i="13"/>
  <c r="J362" i="22"/>
  <c r="J552" i="22"/>
  <c r="H1198" i="22"/>
  <c r="F514" i="22"/>
  <c r="G590" i="14"/>
  <c r="J400" i="22"/>
  <c r="G1160" i="22"/>
  <c r="I324" i="21"/>
  <c r="H1502" i="22"/>
  <c r="G590" i="22"/>
  <c r="G20" i="14"/>
  <c r="I932" i="22"/>
  <c r="H210" i="15"/>
  <c r="F58" i="14"/>
  <c r="J1084" i="22"/>
  <c r="F134" i="18"/>
  <c r="J1464" i="21"/>
  <c r="F590" i="14"/>
  <c r="J856" i="21"/>
  <c r="J134" i="22"/>
  <c r="F210" i="22"/>
  <c r="G780" i="22"/>
  <c r="I134" i="5"/>
  <c r="J20" i="18"/>
  <c r="H324" i="22"/>
  <c r="G1046" i="21"/>
  <c r="H1502" i="21"/>
  <c r="I1502" i="22"/>
  <c r="H134" i="22"/>
  <c r="F1084" i="21"/>
  <c r="F324" i="22"/>
  <c r="I894" i="21"/>
  <c r="J58" i="5"/>
  <c r="G286" i="22"/>
  <c r="I96" i="13"/>
  <c r="F856" i="21"/>
  <c r="J476" i="14"/>
  <c r="J1312" i="21"/>
  <c r="F248" i="22"/>
  <c r="J818" i="21"/>
  <c r="I514" i="21"/>
  <c r="F1236" i="22"/>
  <c r="I1046" i="22"/>
  <c r="I1046" i="21"/>
  <c r="H628" i="21"/>
  <c r="G20" i="5"/>
  <c r="H58" i="18"/>
  <c r="H20" i="5"/>
  <c r="J552" i="21"/>
  <c r="J96" i="15"/>
  <c r="I1312" i="22"/>
  <c r="I1274" i="22"/>
  <c r="J248" i="21"/>
  <c r="G20" i="21"/>
  <c r="H1426" i="21"/>
  <c r="J894" i="21"/>
  <c r="G1084" i="22"/>
  <c r="F324" i="15"/>
  <c r="G1084" i="21"/>
  <c r="G400" i="21"/>
  <c r="I172" i="18"/>
  <c r="F1464" i="22"/>
  <c r="F286" i="22"/>
  <c r="J1046" i="22"/>
  <c r="J1122" i="21"/>
  <c r="F1502" i="21"/>
  <c r="I818" i="21"/>
  <c r="H210" i="5"/>
  <c r="J362" i="21"/>
  <c r="H96" i="5"/>
  <c r="J1692" i="22"/>
  <c r="I324" i="15"/>
  <c r="H1046" i="21"/>
  <c r="F362" i="21"/>
  <c r="G324" i="22"/>
  <c r="I1464" i="22"/>
  <c r="H818" i="22"/>
  <c r="J438" i="22"/>
  <c r="H362" i="21"/>
  <c r="I210" i="22"/>
  <c r="G818" i="21"/>
  <c r="F172" i="22"/>
  <c r="G134" i="22"/>
  <c r="G1730" i="22"/>
  <c r="G1464" i="22"/>
  <c r="G628" i="21"/>
  <c r="F1046" i="22"/>
  <c r="G1350" i="22"/>
  <c r="G324" i="15"/>
  <c r="F932" i="22"/>
  <c r="H856" i="22"/>
  <c r="I96" i="15"/>
  <c r="J1388" i="22"/>
  <c r="G476" i="14"/>
  <c r="H324" i="15"/>
  <c r="J324" i="15"/>
  <c r="G1426" i="21"/>
  <c r="F20" i="14"/>
  <c r="J134" i="21"/>
  <c r="J248" i="22"/>
  <c r="I704" i="22"/>
  <c r="J96" i="18"/>
  <c r="H58" i="14"/>
  <c r="G1578" i="21"/>
  <c r="H704" i="21"/>
  <c r="J1160" i="22"/>
  <c r="H1616" i="22"/>
  <c r="F818" i="21"/>
  <c r="G1806" i="22"/>
  <c r="H932" i="21"/>
  <c r="G742" i="22"/>
  <c r="I552" i="14"/>
  <c r="I818" i="22"/>
  <c r="F1540" i="21"/>
  <c r="H1578" i="21"/>
  <c r="J96" i="5"/>
  <c r="G666" i="21"/>
  <c r="F1464" i="21"/>
  <c r="F96" i="21"/>
  <c r="H96" i="15"/>
  <c r="I362" i="22"/>
  <c r="J1578" i="21"/>
  <c r="J96" i="22"/>
  <c r="G96" i="21"/>
  <c r="G438" i="14"/>
  <c r="I96" i="22"/>
  <c r="J286" i="22"/>
  <c r="H1236" i="22"/>
  <c r="I20" i="15"/>
  <c r="I58" i="14"/>
  <c r="J1274" i="22"/>
  <c r="I20" i="22"/>
  <c r="I96" i="18"/>
  <c r="G1274" i="21"/>
  <c r="I172" i="5"/>
  <c r="J438" i="21"/>
  <c r="J58" i="21"/>
  <c r="F248" i="15"/>
  <c r="F134" i="22"/>
  <c r="I1616" i="22"/>
  <c r="I590" i="21"/>
  <c r="H172" i="18"/>
  <c r="H134" i="21"/>
  <c r="F172" i="21"/>
  <c r="F590" i="22"/>
  <c r="J780" i="22"/>
  <c r="J1236" i="22"/>
  <c r="G248" i="15"/>
  <c r="J58" i="22"/>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29" authorId="1" shapeId="0">
      <text>
        <r>
          <rPr>
            <b/>
            <sz val="9"/>
            <color indexed="81"/>
            <rFont val="Tahoma"/>
            <family val="2"/>
          </rPr>
          <t>Identifica la URL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<sst xmlns="http://schemas.openxmlformats.org/spreadsheetml/2006/main" count="2640" uniqueCount="501">
  <si>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</si>
  <si>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</si>
  <si>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</si>
  <si>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</si>
  <si>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</si>
  <si>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</si>
  <si>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</si>
  <si>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</si>
  <si>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</si>
  <si>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</si>
  <si>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</si>
  <si>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</si>
  <si>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</si>
  <si>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</si>
  <si>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</si>
  <si>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</si>
  <si>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</si>
  <si>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</si>
  <si>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</si>
  <si>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</si>
  <si>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</si>
  <si>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</si>
  <si>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</si>
  <si>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</si>
  <si>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</si>
  <si>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</si>
  <si>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</si>
  <si>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</si>
  <si>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</si>
  <si>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</si>
  <si>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</si>
  <si>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</si>
  <si>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</si>
  <si>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</si>
  <si>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</si>
  <si>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</si>
  <si>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</si>
  <si>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</si>
  <si>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</si>
  <si>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</si>
  <si>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</si>
  <si>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</si>
  <si>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</si>
  <si>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</si>
  <si>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</si>
  <si>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</si>
  <si>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</si>
  <si>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</si>
  <si>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</si>
  <si>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</si>
  <si>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</si>
  <si>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</si>
  <si>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</si>
  <si>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</si>
  <si>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</si>
  <si>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</si>
  <si>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</si>
  <si>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</si>
  <si>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</si>
  <si>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</si>
  <si>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</si>
  <si>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</si>
  <si>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</si>
  <si>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</si>
  <si>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</si>
  <si>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</si>
  <si>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</si>
  <si>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</si>
  <si>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</si>
  <si>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</si>
  <si>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</si>
  <si>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</si>
  <si>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</si>
  <si>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</si>
  <si>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</si>
  <si>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</si>
  <si>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</si>
  <si>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</si>
  <si>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</si>
  <si>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</si>
  <si>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</si>
  <si>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</si>
  <si>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</si>
  <si>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</si>
  <si>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</si>
  <si>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</si>
  <si>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</si>
  <si>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</si>
  <si>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</si>
  <si>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</si>
  <si>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</si>
  <si>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</si>
  <si>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</si>
  <si>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</si>
  <si>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</si>
  <si>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</si>
  <si>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</si>
  <si>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</si>
  <si>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</si>
  <si>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</si>
  <si>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</si>
  <si>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</si>
  <si>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</si>
  <si>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</si>
  <si>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</si>
  <si>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</si>
  <si>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</si>
  <si>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</si>
  <si>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</si>
  <si>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</si>
  <si>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</si>
  <si>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</si>
  <si>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</si>
  <si>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</si>
  <si>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</si>
  <si>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</si>
  <si>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</si>
  <si>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</si>
  <si>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</si>
  <si>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</si>
  <si>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</si>
  <si>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</si>
  <si>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</si>
  <si>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</si>
  <si>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</si>
  <si>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</si>
  <si>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</si>
  <si>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</si>
  <si>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</si>
  <si>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</si>
  <si>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</si>
  <si>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</si>
  <si>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</si>
  <si>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</si>
  <si>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</si>
  <si>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</si>
  <si>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</si>
  <si>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</si>
  <si>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</si>
  <si>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</si>
  <si>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</si>
  <si>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</si>
  <si>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</si>
  <si>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</si>
  <si>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</si>
  <si>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</si>
  <si>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</si>
  <si>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</si>
  <si>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</si>
  <si>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</si>
  <si>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</si>
  <si>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</si>
  <si>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</si>
  <si>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</si>
  <si>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</si>
  <si>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</si>
  <si>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</si>
  <si>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</si>
  <si>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</si>
  <si>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</si>
  <si>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</si>
  <si>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</si>
  <si>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</si>
  <si>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</si>
  <si>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</si>
  <si>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</si>
  <si>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</si>
  <si>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</si>
  <si>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</si>
  <si>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</si>
  <si>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</si>
  <si>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</si>
  <si>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</si>
  <si>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</si>
  <si>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</si>
  <si>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</si>
  <si>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</si>
  <si>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</si>
  <si>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</si>
  <si>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</si>
  <si>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</si>
  <si>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</si>
  <si>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</si>
  <si>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</si>
  <si>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</si>
  <si>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</si>
  <si>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</si>
  <si>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</si>
  <si>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</si>
  <si>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</si>
  <si>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</si>
  <si>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</si>
  <si>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</si>
  <si>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</si>
  <si>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</si>
  <si>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</si>
  <si>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</si>
  <si>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</si>
  <si>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</si>
  <si>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</si>
  <si>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</si>
  <si>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</si>
  <si>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</si>
  <si>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</si>
  <si>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</si>
  <si>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</si>
  <si>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</si>
  <si>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</si>
  <si>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</si>
  <si>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</si>
  <si>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</si>
  <si>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</si>
  <si>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</si>
  <si>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</si>
  <si>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</si>
  <si>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</si>
  <si>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</si>
  <si>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</si>
  <si>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</si>
  <si>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</si>
  <si>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</si>
  <si>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</si>
  <si>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</si>
  <si>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</si>
  <si>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</si>
  <si>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</si>
  <si>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</si>
  <si>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</si>
  <si>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</si>
  <si>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</si>
  <si>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</si>
  <si>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</si>
  <si>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</si>
  <si>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</si>
  <si>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</si>
  <si>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</si>
  <si>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</si>
  <si>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</si>
  <si>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</si>
  <si>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</si>
  <si>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</si>
  <si>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</si>
  <si>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</si>
  <si>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</si>
  <si>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</si>
  <si>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</si>
  <si>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</si>
  <si>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</si>
  <si>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</si>
  <si>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</si>
  <si>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</si>
  <si>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</si>
  <si>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</si>
  <si>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</si>
  <si>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</si>
  <si>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</si>
  <si>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</si>
  <si>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</si>
  <si>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</si>
  <si>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</si>
  <si>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</si>
  <si>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</si>
  <si>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</si>
  <si>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</si>
  <si>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</si>
  <si>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</si>
  <si>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</si>
  <si>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</si>
  <si>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</si>
  <si>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</si>
  <si>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</si>
  <si>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</si>
  <si>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</si>
  <si>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</si>
  <si>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</si>
  <si>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</si>
  <si>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</si>
  <si>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</si>
  <si>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</si>
  <si>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</si>
  <si>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</si>
  <si>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</si>
  <si>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</si>
  <si>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</si>
  <si>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</si>
  <si>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</si>
  <si>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</si>
  <si>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</si>
  <si>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</si>
  <si>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</si>
  <si>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</si>
  <si>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</si>
  <si>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</si>
  <si>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</si>
  <si>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</si>
  <si>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</si>
  <si>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</si>
  <si>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</si>
  <si>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</si>
  <si>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</si>
  <si>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</si>
  <si>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</si>
  <si>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</si>
  <si>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</si>
  <si>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</si>
  <si>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</si>
  <si>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</si>
  <si>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</si>
  <si>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</si>
  <si>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</si>
  <si>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</si>
  <si>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</si>
  <si>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</si>
  <si>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</si>
  <si>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</si>
  <si>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</si>
  <si>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</si>
  <si>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</si>
  <si>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</si>
  <si>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</si>
  <si>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</si>
  <si>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</si>
  <si>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</si>
  <si>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</si>
  <si>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</si>
  <si>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</si>
  <si>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</si>
  <si>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</si>
  <si>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</si>
  <si>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</si>
  <si>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</si>
  <si>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</si>
  <si>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</si>
  <si>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</si>
  <si>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</si>
  <si>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</si>
  <si>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</si>
  <si>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</si>
  <si>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</si>
  <si>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</si>
  <si>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</si>
  <si>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</si>
  <si>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</si>
  <si>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</si>
  <si>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</si>
  <si>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</si>
  <si>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</si>
  <si>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</si>
  <si>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</si>
  <si>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</si>
  <si>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</si>
  <si>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</si>
  <si>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</si>
  <si>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</si>
  <si>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</si>
  <si>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</si>
  <si>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</si>
  <si>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</si>
  <si>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</si>
  <si>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</si>
  <si>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</si>
  <si>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</si>
  <si>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</si>
  <si>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</si>
  <si>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</si>
  <si>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</si>
  <si>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</si>
  <si>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</si>
  <si>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</si>
  <si>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</si>
  <si>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</si>
  <si>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</si>
  <si>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</si>
  <si>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</si>
  <si>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</si>
  <si>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</si>
  <si>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</si>
  <si>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</si>
  <si>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</si>
  <si>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</si>
  <si>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</si>
  <si>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</si>
  <si>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</si>
  <si>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</si>
  <si>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</si>
  <si>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</si>
  <si>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</si>
  <si>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</si>
  <si>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</si>
  <si>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</si>
  <si>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</si>
  <si>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</si>
  <si>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</si>
  <si>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</si>
  <si>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</si>
  <si>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</si>
  <si>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</si>
  <si>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</si>
  <si>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</si>
  <si>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</si>
  <si>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</si>
  <si>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</si>
  <si>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</si>
  <si>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</si>
  <si>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</si>
  <si>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</si>
  <si>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</si>
  <si>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</si>
  <si>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</si>
  <si>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</si>
  <si>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</si>
  <si>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</si>
  <si>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</si>
  <si>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</si>
  <si>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</si>
  <si>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</si>
  <si>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</si>
  <si>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</si>
  <si>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</si>
  <si>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</si>
  <si>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</si>
  <si>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</si>
  <si>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</si>
  <si>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</si>
  <si>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</si>
  <si>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</si>
  <si>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</si>
  <si>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</si>
  <si>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</si>
  <si>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</si>
  <si>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</si>
  <si>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</si>
  <si>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</si>
  <si>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</si>
  <si>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</si>
  <si>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</si>
  <si>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</si>
  <si>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</si>
  <si>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</si>
  <si>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</si>
  <si>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</si>
  <si>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</si>
  <si>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</si>
  <si>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</si>
  <si>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</si>
  <si>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</si>
  <si>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</si>
  <si>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</si>
  <si>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</si>
  <si>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</si>
  <si>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</si>
  <si>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</si>
  <si>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</si>
  <si>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</si>
  <si>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</si>
  <si>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</si>
  <si>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</si>
  <si>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</si>
  <si>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</si>
  <si>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</si>
  <si>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</si>
  <si>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</si>
  <si>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</si>
  <si>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</si>
  <si>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</si>
  <si>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</si>
  <si>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</si>
  <si>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</si>
  <si>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</si>
  <si>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</si>
  <si>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</si>
  <si>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</si>
  <si>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</si>
  <si>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</si>
  <si>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</si>
  <si>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</si>
  <si>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</si>
  <si>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</si>
  <si>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</si>
  <si>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</si>
  <si>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</si>
  <si>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Inicio</t>
  </si>
  <si>
    <t>Página Web</t>
  </si>
  <si>
    <t>Home</t>
  </si>
  <si>
    <t>Equipo: Intel(R) Core(TM) i7-6700HQ CPU @ 2.60GHz   2.60 GHz, 
RAM: 16,0 GB
Sistema Operativo: Windows 10 Enterprise
Navegador: Google Chrome Versión Versión 114.0.5735.199 (Build oficial) (64 bits)
Herramientas utilizadas: Tawdis, LightHouse, Wave, Color Contrast Analyzer, Headings map, Screen reader, https://validator.w3.org/nu/</t>
  </si>
  <si>
    <t>Menu 1</t>
  </si>
  <si>
    <t>Menu 2</t>
  </si>
  <si>
    <t>Menu 3</t>
  </si>
  <si>
    <t>PTPR_JOOMLA</t>
  </si>
  <si>
    <t>http://www.madrid.org/presupuestos</t>
  </si>
  <si>
    <t>Se analizan las paginas del dominio 'http://www.madrid.org/presupuestos'</t>
  </si>
  <si>
    <t>Presupuestos de la comunidad de Madrid.</t>
  </si>
  <si>
    <t>http://www.madrid.org/presupuestos/index.php/presupuestos-generales/presupuestos-cm/2022</t>
  </si>
  <si>
    <t>Home/Presupuestos generales</t>
  </si>
  <si>
    <t>Home/Ejecucion Presupuestaria</t>
  </si>
  <si>
    <t>Home/Transparencia</t>
  </si>
  <si>
    <t>http://www.madrid.org/presupuestos/index.php/transparencia</t>
  </si>
  <si>
    <t>http://www.madrid.org/presupuestos/index.php/ejecucion-presupuestaria</t>
  </si>
  <si>
    <t>http://www.madrid.org/presupuestos/index.php/accesibilidad-web</t>
  </si>
  <si>
    <t>Home/Declaración de accesibilidad</t>
  </si>
  <si>
    <t>Accesibilidad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</si>
</sst>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5">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785">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145897</xdr:rowOff>
    </xdr:from>
    <xdr:to>
      <xdr:col>8</xdr:col>
      <xdr:colOff>351896</xdr:colOff>
      <xdr:row>25</xdr:row>
      <xdr:rowOff>64076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45653</xdr:colOff>
      <xdr:row>203</xdr:row>
      <xdr:rowOff>25401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27013</xdr:rowOff>
    </xdr:from>
    <xdr:to>
      <xdr:col>11</xdr:col>
      <xdr:colOff>30024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7795</xdr:rowOff>
    </xdr:from>
    <xdr:to>
      <xdr:col>11</xdr:col>
      <xdr:colOff>26244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140684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141540</xdr:rowOff>
    </xdr:from>
    <xdr:to>
      <xdr:col>11</xdr:col>
      <xdr:colOff>30023</xdr:colOff>
      <xdr:row>47</xdr:row>
      <xdr:rowOff>69849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583479</xdr:colOff>
      <xdr:row>58</xdr:row>
      <xdr:rowOff>31154</xdr:rowOff>
    </xdr:from>
    <xdr:to>
      <xdr:col>8</xdr:col>
      <xdr:colOff>362860</xdr:colOff>
      <xdr:row>62</xdr:row>
      <xdr:rowOff>101734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87220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68638</xdr:rowOff>
    </xdr:from>
    <xdr:to>
      <xdr:col>8</xdr:col>
      <xdr:colOff>87374</xdr:colOff>
      <xdr:row>26</xdr:row>
      <xdr:rowOff>141335</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124989</xdr:colOff>
      <xdr:row>100</xdr:row>
      <xdr:rowOff>92464</xdr:rowOff>
    </xdr:from>
    <xdr:to>
      <xdr:col>10</xdr:col>
      <xdr:colOff>678240</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202031</xdr:colOff>
      <xdr:row>63</xdr:row>
      <xdr:rowOff>65541</xdr:rowOff>
    </xdr:from>
    <xdr:to>
      <xdr:col>10</xdr:col>
      <xdr:colOff>960158</xdr:colOff>
      <xdr:row>86</xdr:row>
      <xdr:rowOff>49741</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144718</xdr:rowOff>
    </xdr:from>
    <xdr:to>
      <xdr:col>10</xdr:col>
      <xdr:colOff>770048</xdr:colOff>
      <xdr:row>43</xdr:row>
      <xdr:rowOff>139700</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333774</xdr:colOff>
      <xdr:row>58</xdr:row>
      <xdr:rowOff>39621</xdr:rowOff>
    </xdr:from>
    <xdr:to>
      <xdr:col>8</xdr:col>
      <xdr:colOff>116329</xdr:colOff>
      <xdr:row>62</xdr:row>
      <xdr:rowOff>121842</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25745</xdr:rowOff>
    </xdr:from>
    <xdr:to>
      <xdr:col>8</xdr:col>
      <xdr:colOff>73699</xdr:colOff>
      <xdr:row>100</xdr:row>
      <xdr:rowOff>103035</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560131</xdr:colOff>
      <xdr:row>20</xdr:row>
      <xdr:rowOff>79223</xdr:rowOff>
    </xdr:from>
    <xdr:to>
      <xdr:col>8</xdr:col>
      <xdr:colOff>297921</xdr:colOff>
      <xdr:row>25</xdr:row>
      <xdr:rowOff>6927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28201</xdr:rowOff>
    </xdr:from>
    <xdr:to>
      <xdr:col>14</xdr:col>
      <xdr:colOff>841168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352502</xdr:colOff>
      <xdr:row>252</xdr:row>
      <xdr:rowOff>124209</xdr:rowOff>
    </xdr:from>
    <xdr:to>
      <xdr:col>11</xdr:col>
      <xdr:colOff>145</xdr:colOff>
      <xdr:row>277</xdr:row>
      <xdr:rowOff>28574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370494</xdr:colOff>
      <xdr:row>215</xdr:row>
      <xdr:rowOff>10582</xdr:rowOff>
    </xdr:from>
    <xdr:to>
      <xdr:col>11</xdr:col>
      <xdr:colOff>7553</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352502</xdr:colOff>
      <xdr:row>175</xdr:row>
      <xdr:rowOff>115969</xdr:rowOff>
    </xdr:from>
    <xdr:to>
      <xdr:col>10</xdr:col>
      <xdr:colOff>961111</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352015</xdr:colOff>
      <xdr:row>139</xdr:row>
      <xdr:rowOff>126495</xdr:rowOff>
    </xdr:from>
    <xdr:to>
      <xdr:col>12</xdr:col>
      <xdr:colOff>114300</xdr:colOff>
      <xdr:row>160</xdr:row>
      <xdr:rowOff>87539</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11686</xdr:colOff>
      <xdr:row>100</xdr:row>
      <xdr:rowOff>124212</xdr:rowOff>
    </xdr:from>
    <xdr:to>
      <xdr:col>17</xdr:col>
      <xdr:colOff>240242</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353560</xdr:colOff>
      <xdr:row>62</xdr:row>
      <xdr:rowOff>76126</xdr:rowOff>
    </xdr:from>
    <xdr:to>
      <xdr:col>11</xdr:col>
      <xdr:colOff>742950</xdr:colOff>
      <xdr:row>89</xdr:row>
      <xdr:rowOff>125264</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962416</xdr:colOff>
      <xdr:row>49</xdr:row>
      <xdr:rowOff>123825</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526328</xdr:colOff>
      <xdr:row>57</xdr:row>
      <xdr:rowOff>140162</xdr:rowOff>
    </xdr:from>
    <xdr:to>
      <xdr:col>8</xdr:col>
      <xdr:colOff>312059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543281</xdr:colOff>
      <xdr:row>95</xdr:row>
      <xdr:rowOff>143220</xdr:rowOff>
    </xdr:from>
    <xdr:to>
      <xdr:col>8</xdr:col>
      <xdr:colOff>274721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27446</xdr:rowOff>
    </xdr:from>
    <xdr:to>
      <xdr:col>8</xdr:col>
      <xdr:colOff>332121</xdr:colOff>
      <xdr:row>139</xdr:row>
      <xdr:rowOff>121550</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541319</xdr:colOff>
      <xdr:row>171</xdr:row>
      <xdr:rowOff>87548</xdr:rowOff>
    </xdr:from>
    <xdr:to>
      <xdr:col>8</xdr:col>
      <xdr:colOff>333400</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541627</xdr:colOff>
      <xdr:row>210</xdr:row>
      <xdr:rowOff>40541</xdr:rowOff>
    </xdr:from>
    <xdr:to>
      <xdr:col>8</xdr:col>
      <xdr:colOff>333708</xdr:colOff>
      <xdr:row>214</xdr:row>
      <xdr:rowOff>121005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578864</xdr:colOff>
      <xdr:row>248</xdr:row>
      <xdr:rowOff>65000</xdr:rowOff>
    </xdr:from>
    <xdr:to>
      <xdr:col>8</xdr:col>
      <xdr:colOff>307129</xdr:colOff>
      <xdr:row>253</xdr:row>
      <xdr:rowOff>10938</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352774</xdr:colOff>
      <xdr:row>290</xdr:row>
      <xdr:rowOff>121509</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351180</xdr:colOff>
      <xdr:row>328</xdr:row>
      <xdr:rowOff>59204</xdr:rowOff>
    </xdr:from>
    <xdr:to>
      <xdr:col>14</xdr:col>
      <xdr:colOff>783442</xdr:colOff>
      <xdr:row>359</xdr:row>
      <xdr:rowOff>197910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788513</xdr:colOff>
      <xdr:row>397</xdr:row>
      <xdr:rowOff>66375</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544741</xdr:colOff>
      <xdr:row>361</xdr:row>
      <xdr:rowOff>143871</xdr:rowOff>
    </xdr:from>
    <xdr:to>
      <xdr:col>8</xdr:col>
      <xdr:colOff>333624</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788513</xdr:colOff>
      <xdr:row>435</xdr:row>
      <xdr:rowOff>10410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334705</xdr:colOff>
      <xdr:row>404</xdr:row>
      <xdr:rowOff>124556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11709</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334705</xdr:colOff>
      <xdr:row>442</xdr:row>
      <xdr:rowOff>124556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11709</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334705</xdr:colOff>
      <xdr:row>480</xdr:row>
      <xdr:rowOff>124556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11709</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334705</xdr:colOff>
      <xdr:row>518</xdr:row>
      <xdr:rowOff>124556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11709</xdr:colOff>
      <xdr:row>576</xdr:row>
      <xdr:rowOff>45508</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334705</xdr:colOff>
      <xdr:row>556</xdr:row>
      <xdr:rowOff>124556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11709</xdr:colOff>
      <xdr:row>616</xdr:row>
      <xdr:rowOff>9671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334705</xdr:colOff>
      <xdr:row>594</xdr:row>
      <xdr:rowOff>124556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11709</xdr:colOff>
      <xdr:row>650</xdr:row>
      <xdr:rowOff>105670</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334705</xdr:colOff>
      <xdr:row>632</xdr:row>
      <xdr:rowOff>124556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11709</xdr:colOff>
      <xdr:row>691</xdr:row>
      <xdr:rowOff>68663</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334705</xdr:colOff>
      <xdr:row>670</xdr:row>
      <xdr:rowOff>124556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65988</xdr:rowOff>
    </xdr:from>
    <xdr:to>
      <xdr:col>11</xdr:col>
      <xdr:colOff>11709</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506641</xdr:colOff>
      <xdr:row>704</xdr:row>
      <xdr:rowOff>50613</xdr:rowOff>
    </xdr:from>
    <xdr:to>
      <xdr:col>8</xdr:col>
      <xdr:colOff>292372</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7408</xdr:rowOff>
    </xdr:from>
    <xdr:to>
      <xdr:col>8</xdr:col>
      <xdr:colOff>332889</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581298</xdr:colOff>
      <xdr:row>20</xdr:row>
      <xdr:rowOff>107797</xdr:rowOff>
    </xdr:from>
    <xdr:to>
      <xdr:col>8</xdr:col>
      <xdr:colOff>312738</xdr:colOff>
      <xdr:row>25</xdr:row>
      <xdr:rowOff>45026</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45896</xdr:rowOff>
    </xdr:from>
    <xdr:to>
      <xdr:col>11</xdr:col>
      <xdr:colOff>22010</xdr:colOff>
      <xdr:row>120</xdr:row>
      <xdr:rowOff>82550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368377</xdr:colOff>
      <xdr:row>62</xdr:row>
      <xdr:rowOff>142800</xdr:rowOff>
    </xdr:from>
    <xdr:to>
      <xdr:col>11</xdr:col>
      <xdr:colOff>6495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810699</xdr:colOff>
      <xdr:row>52</xdr:row>
      <xdr:rowOff>122038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468120</xdr:colOff>
      <xdr:row>58</xdr:row>
      <xdr:rowOff>7871</xdr:rowOff>
    </xdr:from>
    <xdr:to>
      <xdr:col>8</xdr:col>
      <xdr:colOff>260201</xdr:colOff>
      <xdr:row>62</xdr:row>
      <xdr:rowOff>86918</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564448</xdr:colOff>
      <xdr:row>95</xdr:row>
      <xdr:rowOff>122053</xdr:rowOff>
    </xdr:from>
    <xdr:to>
      <xdr:col>8</xdr:col>
      <xdr:colOff>295888</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27517</xdr:colOff>
      <xdr:row>328</xdr:row>
      <xdr:rowOff>143328</xdr:rowOff>
    </xdr:from>
    <xdr:to>
      <xdr:col>11</xdr:col>
      <xdr:colOff>808105</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9593</xdr:colOff>
      <xdr:row>304</xdr:row>
      <xdr:rowOff>65781</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83228</xdr:rowOff>
    </xdr:from>
    <xdr:to>
      <xdr:col>11</xdr:col>
      <xdr:colOff>7475</xdr:colOff>
      <xdr:row>265</xdr:row>
      <xdr:rowOff>103388</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541337</xdr:colOff>
      <xdr:row>209</xdr:row>
      <xdr:rowOff>120650</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522191</xdr:colOff>
      <xdr:row>248</xdr:row>
      <xdr:rowOff>48459</xdr:rowOff>
    </xdr:from>
    <xdr:to>
      <xdr:col>8</xdr:col>
      <xdr:colOff>304747</xdr:colOff>
      <xdr:row>252</xdr:row>
      <xdr:rowOff>121155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559541</xdr:colOff>
      <xdr:row>286</xdr:row>
      <xdr:rowOff>82943</xdr:rowOff>
    </xdr:from>
    <xdr:to>
      <xdr:col>8</xdr:col>
      <xdr:colOff>351622</xdr:colOff>
      <xdr:row>291</xdr:row>
      <xdr:rowOff>7831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565029</xdr:colOff>
      <xdr:row>323</xdr:row>
      <xdr:rowOff>107402</xdr:rowOff>
    </xdr:from>
    <xdr:to>
      <xdr:col>8</xdr:col>
      <xdr:colOff>296469</xdr:colOff>
      <xdr:row>328</xdr:row>
      <xdr:rowOff>49106</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577850</xdr:colOff>
      <xdr:row>133</xdr:row>
      <xdr:rowOff>101600</xdr:rowOff>
    </xdr:from>
    <xdr:to>
      <xdr:col>8</xdr:col>
      <xdr:colOff>315640</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583142</xdr:colOff>
      <xdr:row>172</xdr:row>
      <xdr:rowOff>26459</xdr:rowOff>
    </xdr:from>
    <xdr:to>
      <xdr:col>8</xdr:col>
      <xdr:colOff>314582</xdr:colOff>
      <xdr:row>176</xdr:row>
      <xdr:rowOff>105865</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354542</xdr:colOff>
      <xdr:row>138</xdr:row>
      <xdr:rowOff>113242</xdr:rowOff>
    </xdr:from>
    <xdr:to>
      <xdr:col>10</xdr:col>
      <xdr:colOff>954358</xdr:colOff>
      <xdr:row>160</xdr:row>
      <xdr:rowOff>7409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6350</xdr:colOff>
      <xdr:row>176</xdr:row>
      <xdr:rowOff>136524</xdr:rowOff>
    </xdr:from>
    <xdr:to>
      <xdr:col>11</xdr:col>
      <xdr:colOff>9266</xdr:colOff>
      <xdr:row>204</xdr:row>
      <xdr:rowOff>28574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601406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215902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10584</xdr:colOff>
      <xdr:row>708</xdr:row>
      <xdr:rowOff>45837</xdr:rowOff>
    </xdr:from>
    <xdr:to>
      <xdr:col>12</xdr:col>
      <xdr:colOff>524934</xdr:colOff>
      <xdr:row>739</xdr:row>
      <xdr:rowOff>239183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6957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47995</xdr:rowOff>
    </xdr:from>
    <xdr:to>
      <xdr:col>11</xdr:col>
      <xdr:colOff>50416</xdr:colOff>
      <xdr:row>623</xdr:row>
      <xdr:rowOff>46566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85319</xdr:rowOff>
    </xdr:from>
    <xdr:to>
      <xdr:col>11</xdr:col>
      <xdr:colOff>50416</xdr:colOff>
      <xdr:row>584</xdr:row>
      <xdr:rowOff>28287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50416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959601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11316</xdr:rowOff>
    </xdr:from>
    <xdr:to>
      <xdr:col>11</xdr:col>
      <xdr:colOff>30006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69549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30996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30996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6957</xdr:colOff>
      <xdr:row>177</xdr:row>
      <xdr:rowOff>10448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8112</xdr:rowOff>
    </xdr:from>
    <xdr:to>
      <xdr:col>11</xdr:col>
      <xdr:colOff>63739</xdr:colOff>
      <xdr:row>157</xdr:row>
      <xdr:rowOff>143933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47517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46644</xdr:colOff>
      <xdr:row>62</xdr:row>
      <xdr:rowOff>84743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143489</xdr:rowOff>
    </xdr:from>
    <xdr:to>
      <xdr:col>8</xdr:col>
      <xdr:colOff>374501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617213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10666</xdr:rowOff>
    </xdr:from>
    <xdr:to>
      <xdr:col>8</xdr:col>
      <xdr:colOff>340285</xdr:colOff>
      <xdr:row>138</xdr:row>
      <xdr:rowOff>84205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50217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293598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50211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122699</xdr:rowOff>
    </xdr:from>
    <xdr:to>
      <xdr:col>8</xdr:col>
      <xdr:colOff>296154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564384</xdr:colOff>
      <xdr:row>400</xdr:row>
      <xdr:rowOff>8697</xdr:rowOff>
    </xdr:from>
    <xdr:to>
      <xdr:col>8</xdr:col>
      <xdr:colOff>295824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540812</xdr:colOff>
      <xdr:row>438</xdr:row>
      <xdr:rowOff>16341</xdr:rowOff>
    </xdr:from>
    <xdr:to>
      <xdr:col>8</xdr:col>
      <xdr:colOff>332893</xdr:colOff>
      <xdr:row>442</xdr:row>
      <xdr:rowOff>85712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293672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122466</xdr:rowOff>
    </xdr:from>
    <xdr:to>
      <xdr:col>8</xdr:col>
      <xdr:colOff>296259</xdr:colOff>
      <xdr:row>518</xdr:row>
      <xdr:rowOff>46876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125158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540344</xdr:colOff>
      <xdr:row>590</xdr:row>
      <xdr:rowOff>131952</xdr:rowOff>
    </xdr:from>
    <xdr:to>
      <xdr:col>8</xdr:col>
      <xdr:colOff>278134</xdr:colOff>
      <xdr:row>595</xdr:row>
      <xdr:rowOff>67671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540344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503335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68489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355147</xdr:colOff>
      <xdr:row>936</xdr:row>
      <xdr:rowOff>86946</xdr:rowOff>
    </xdr:from>
    <xdr:to>
      <xdr:col>11</xdr:col>
      <xdr:colOff>324530</xdr:colOff>
      <xdr:row>959</xdr:row>
      <xdr:rowOff>141816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30696</xdr:colOff>
      <xdr:row>852</xdr:row>
      <xdr:rowOff>46566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104846</xdr:rowOff>
    </xdr:from>
    <xdr:to>
      <xdr:col>11</xdr:col>
      <xdr:colOff>10031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542969</xdr:colOff>
      <xdr:row>742</xdr:row>
      <xdr:rowOff>1058</xdr:rowOff>
    </xdr:from>
    <xdr:to>
      <xdr:col>8</xdr:col>
      <xdr:colOff>276770</xdr:colOff>
      <xdr:row>746</xdr:row>
      <xdr:rowOff>68499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66729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143897</xdr:rowOff>
    </xdr:from>
    <xdr:to>
      <xdr:col>8</xdr:col>
      <xdr:colOff>323532</xdr:colOff>
      <xdr:row>860</xdr:row>
      <xdr:rowOff>105313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102789</xdr:rowOff>
    </xdr:from>
    <xdr:to>
      <xdr:col>8</xdr:col>
      <xdr:colOff>333276</xdr:colOff>
      <xdr:row>936</xdr:row>
      <xdr:rowOff>87915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106356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86355</xdr:rowOff>
    </xdr:from>
    <xdr:to>
      <xdr:col>8</xdr:col>
      <xdr:colOff>294267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545486</xdr:colOff>
      <xdr:row>1236</xdr:row>
      <xdr:rowOff>25984</xdr:rowOff>
    </xdr:from>
    <xdr:to>
      <xdr:col>8</xdr:col>
      <xdr:colOff>294918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579195</xdr:colOff>
      <xdr:row>1273</xdr:row>
      <xdr:rowOff>125452</xdr:rowOff>
    </xdr:from>
    <xdr:to>
      <xdr:col>8</xdr:col>
      <xdr:colOff>325696</xdr:colOff>
      <xdr:row>1278</xdr:row>
      <xdr:rowOff>6356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503417</xdr:colOff>
      <xdr:row>1312</xdr:row>
      <xdr:rowOff>38906</xdr:rowOff>
    </xdr:from>
    <xdr:to>
      <xdr:col>8</xdr:col>
      <xdr:colOff>278249</xdr:colOff>
      <xdr:row>1316</xdr:row>
      <xdr:rowOff>139717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563742</xdr:colOff>
      <xdr:row>1349</xdr:row>
      <xdr:rowOff>101779</xdr:rowOff>
    </xdr:from>
    <xdr:to>
      <xdr:col>8</xdr:col>
      <xdr:colOff>313174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332623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141007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29879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67680</xdr:rowOff>
    </xdr:from>
    <xdr:to>
      <xdr:col>11</xdr:col>
      <xdr:colOff>29973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12437</xdr:colOff>
      <xdr:row>1241</xdr:row>
      <xdr:rowOff>122864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46567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315118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29368</xdr:colOff>
      <xdr:row>1355</xdr:row>
      <xdr:rowOff>1194</xdr:rowOff>
    </xdr:from>
    <xdr:to>
      <xdr:col>11</xdr:col>
      <xdr:colOff>86036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10079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315716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564127</xdr:colOff>
      <xdr:row>1464</xdr:row>
      <xdr:rowOff>10650</xdr:rowOff>
    </xdr:from>
    <xdr:to>
      <xdr:col>8</xdr:col>
      <xdr:colOff>314642</xdr:colOff>
      <xdr:row>1468</xdr:row>
      <xdr:rowOff>144730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296866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944562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30162</xdr:colOff>
      <xdr:row>1506</xdr:row>
      <xdr:rowOff>121907</xdr:rowOff>
    </xdr:from>
    <xdr:to>
      <xdr:col>11</xdr:col>
      <xdr:colOff>2268</xdr:colOff>
      <xdr:row>1523</xdr:row>
      <xdr:rowOff>48684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887413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922338</xdr:colOff>
      <xdr:row>1671</xdr:row>
      <xdr:rowOff>45605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123506</xdr:rowOff>
    </xdr:from>
    <xdr:to>
      <xdr:col>12</xdr:col>
      <xdr:colOff>539751</xdr:colOff>
      <xdr:row>1762</xdr:row>
      <xdr:rowOff>120650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12020</xdr:colOff>
      <xdr:row>1772</xdr:row>
      <xdr:rowOff>121314</xdr:rowOff>
    </xdr:from>
    <xdr:to>
      <xdr:col>10</xdr:col>
      <xdr:colOff>854546</xdr:colOff>
      <xdr:row>1799</xdr:row>
      <xdr:rowOff>120650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7518</xdr:colOff>
      <xdr:row>1810</xdr:row>
      <xdr:rowOff>145846</xdr:rowOff>
    </xdr:from>
    <xdr:to>
      <xdr:col>10</xdr:col>
      <xdr:colOff>962025</xdr:colOff>
      <xdr:row>1841</xdr:row>
      <xdr:rowOff>120650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68253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6350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30163</xdr:colOff>
      <xdr:row>1012</xdr:row>
      <xdr:rowOff>47745</xdr:rowOff>
    </xdr:from>
    <xdr:to>
      <xdr:col>11</xdr:col>
      <xdr:colOff>107528</xdr:colOff>
      <xdr:row>1025</xdr:row>
      <xdr:rowOff>10946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601663</xdr:colOff>
      <xdr:row>1046</xdr:row>
      <xdr:rowOff>6350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30163</xdr:colOff>
      <xdr:row>1126</xdr:row>
      <xdr:rowOff>78645</xdr:rowOff>
    </xdr:from>
    <xdr:to>
      <xdr:col>11</xdr:col>
      <xdr:colOff>40084</xdr:colOff>
      <xdr:row>1142</xdr:row>
      <xdr:rowOff>141816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86455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87954</xdr:rowOff>
    </xdr:from>
    <xdr:to>
      <xdr:col>10</xdr:col>
      <xdr:colOff>903288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30163</xdr:colOff>
      <xdr:row>1544</xdr:row>
      <xdr:rowOff>140051</xdr:rowOff>
    </xdr:from>
    <xdr:to>
      <xdr:col>10</xdr:col>
      <xdr:colOff>827088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126022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352954</xdr:colOff>
      <xdr:row>1582</xdr:row>
      <xdr:rowOff>144991</xdr:rowOff>
    </xdr:from>
    <xdr:to>
      <xdr:col>14</xdr:col>
      <xdr:colOff>579581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541338</xdr:colOff>
      <xdr:row>1729</xdr:row>
      <xdr:rowOff>133350</xdr:rowOff>
    </xdr:from>
    <xdr:to>
      <xdr:col>8</xdr:col>
      <xdr:colOff>273888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103704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296693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335152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312341</xdr:colOff>
      <xdr:row>1887</xdr:row>
      <xdr:rowOff>45819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8197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120650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313754</xdr:colOff>
      <xdr:row>138</xdr:row>
      <xdr:rowOff>105680</xdr:rowOff>
    </xdr:from>
    <xdr:to>
      <xdr:col>11</xdr:col>
      <xdr:colOff>10382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28694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86909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44637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503194</xdr:colOff>
      <xdr:row>96</xdr:row>
      <xdr:rowOff>1737</xdr:rowOff>
    </xdr:from>
    <xdr:to>
      <xdr:col>8</xdr:col>
      <xdr:colOff>265703</xdr:colOff>
      <xdr:row>100</xdr:row>
      <xdr:rowOff>27501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84340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145642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559847</xdr:colOff>
      <xdr:row>210</xdr:row>
      <xdr:rowOff>144820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zoomScale="90" zoomScaleNormal="90" workbookViewId="0">
      <selection activeCell="M2" sqref="M2"/>
    </sheetView>
  </sheetViews>
  <sheetFormatPr baseColWidth="10" defaultColWidth="11.54296875" defaultRowHeight="12.5"/>
  <cols>
    <col min="1" max="1" width="11.7265625" customWidth="1"/>
    <col min="14" max="14" width="18.2695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2</v>
      </c>
    </row>
    <row r="9" spans="1:64" ht="216" customHeight="1">
      <c r="B9" s="246" t="s">
        <v>470</v>
      </c>
      <c r="C9" s="246"/>
      <c r="D9" s="246"/>
      <c r="E9" s="246"/>
      <c r="F9" s="246"/>
      <c r="G9" s="246"/>
      <c r="H9" s="246"/>
      <c r="I9" s="246"/>
      <c r="J9" s="246"/>
      <c r="K9" s="246"/>
      <c r="L9" s="246"/>
      <c r="M9" s="246"/>
      <c r="N9" s="246"/>
    </row>
    <row r="10" spans="1:64" ht="13.5" customHeight="1"/>
    <row r="11" spans="1:64" ht="86.25" customHeight="1">
      <c r="B11" s="246" t="s">
        <v>279</v>
      </c>
      <c r="C11" s="246"/>
      <c r="D11" s="246"/>
      <c r="E11" s="246"/>
      <c r="F11" s="246"/>
      <c r="G11" s="246"/>
      <c r="H11" s="246"/>
      <c r="I11" s="246"/>
      <c r="J11" s="246"/>
      <c r="K11" s="246"/>
      <c r="L11" s="246"/>
      <c r="M11" s="246"/>
      <c r="N11" s="246"/>
    </row>
    <row r="12" spans="1:64" ht="13.5" customHeight="1"/>
    <row r="13" spans="1:64" ht="319.5" customHeight="1">
      <c r="B13" s="246" t="s">
        <v>469</v>
      </c>
      <c r="C13" s="246"/>
      <c r="D13" s="246"/>
      <c r="E13" s="246"/>
      <c r="F13" s="246"/>
      <c r="G13" s="246"/>
      <c r="H13" s="246"/>
      <c r="I13" s="246"/>
      <c r="J13" s="246"/>
      <c r="K13" s="246"/>
      <c r="L13" s="246"/>
      <c r="M13" s="246"/>
      <c r="N13" s="246"/>
    </row>
    <row r="15" spans="1:64" ht="274.5" customHeight="1">
      <c r="B15" s="247" t="s">
        <v>473</v>
      </c>
      <c r="C15" s="247"/>
      <c r="D15" s="247"/>
      <c r="E15" s="247"/>
      <c r="F15" s="247"/>
      <c r="G15" s="247"/>
      <c r="H15" s="247"/>
      <c r="I15" s="247"/>
      <c r="J15" s="247"/>
      <c r="K15" s="247"/>
      <c r="L15" s="247"/>
      <c r="M15" s="247"/>
      <c r="N15" s="247"/>
    </row>
    <row r="17" spans="2:14" ht="29.25" customHeight="1">
      <c r="B17" s="248" t="s">
        <v>272</v>
      </c>
      <c r="C17" s="248"/>
      <c r="D17" s="248"/>
      <c r="E17" s="248"/>
      <c r="F17" s="248"/>
      <c r="G17" s="248"/>
      <c r="H17" s="248"/>
      <c r="I17" s="248"/>
      <c r="J17" s="248"/>
      <c r="K17" s="248"/>
      <c r="L17" s="248"/>
      <c r="M17" s="248"/>
      <c r="N17" s="248"/>
    </row>
    <row r="19" spans="2:14" ht="17.5">
      <c r="B19" s="213" t="s">
        <v>357</v>
      </c>
      <c r="C19" s="212"/>
      <c r="D19" s="212"/>
      <c r="E19" s="212"/>
      <c r="F19" s="212"/>
      <c r="G19" s="212"/>
      <c r="H19" s="212"/>
      <c r="I19" s="212"/>
      <c r="J19" s="212"/>
      <c r="K19" s="212"/>
      <c r="L19" s="212"/>
      <c r="M19" s="212"/>
      <c r="N19" s="212"/>
    </row>
    <row r="20" spans="2:14" ht="18.5">
      <c r="B20" s="210" t="s">
        <v>280</v>
      </c>
      <c r="C20" s="211"/>
      <c r="D20" s="211"/>
      <c r="E20" s="211"/>
      <c r="F20" s="211"/>
      <c r="G20" s="211"/>
      <c r="H20" s="211"/>
      <c r="I20" s="211"/>
      <c r="J20" s="211"/>
      <c r="K20" s="211"/>
      <c r="L20" s="211"/>
      <c r="M20" s="211"/>
      <c r="N20" s="211"/>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zoomScale="70" zoomScaleNormal="70" workbookViewId="0">
      <selection activeCell="D213" sqref="D213"/>
    </sheetView>
  </sheetViews>
  <sheetFormatPr baseColWidth="10" defaultColWidth="11.54296875" defaultRowHeight="12.5"/>
  <cols>
    <col min="1" max="1" width="7.81640625" style="14" customWidth="1"/>
    <col min="2" max="2" width="16.1796875" style="14" customWidth="1"/>
    <col min="3" max="3" width="71"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5" customHeight="1">
      <c r="B7" s="19"/>
      <c r="C7" s="19"/>
      <c r="D7" s="19"/>
      <c r="E7" s="107"/>
      <c r="F7" s="19"/>
      <c r="G7" s="19"/>
      <c r="H7" s="19"/>
      <c r="I7" s="19"/>
      <c r="J7" s="19"/>
      <c r="K7" s="19"/>
      <c r="L7" s="19"/>
      <c r="M7" s="19"/>
      <c r="N7" s="19"/>
      <c r="O7" s="19"/>
    </row>
    <row r="8" spans="1:64" ht="19" customHeight="1">
      <c r="B8" s="266" t="s">
        <v>322</v>
      </c>
      <c r="C8" s="266"/>
      <c r="D8" s="266"/>
      <c r="E8" s="266"/>
      <c r="F8" s="266"/>
      <c r="G8" s="266"/>
      <c r="H8" s="266"/>
      <c r="I8" s="266"/>
      <c r="J8" s="266"/>
      <c r="K8" s="266"/>
      <c r="L8" s="266"/>
      <c r="M8" s="266"/>
      <c r="N8" s="19"/>
      <c r="O8" s="19"/>
    </row>
    <row r="9" spans="1:64" ht="30" customHeight="1">
      <c r="B9" s="265" t="s">
        <v>471</v>
      </c>
      <c r="C9" s="265"/>
      <c r="D9" s="265"/>
      <c r="E9" s="265"/>
      <c r="F9" s="265"/>
      <c r="G9" s="265"/>
      <c r="H9" s="265"/>
      <c r="I9" s="265"/>
      <c r="J9" s="265"/>
      <c r="K9" s="265"/>
      <c r="L9" s="265"/>
      <c r="M9" s="265"/>
      <c r="N9" s="19"/>
      <c r="O9" s="19"/>
    </row>
    <row r="10" spans="1:64" ht="17.149999999999999"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4" customHeight="1">
      <c r="B11" s="263" t="s">
        <v>152</v>
      </c>
      <c r="C11" s="264"/>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30</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30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http://www.madrid.org/presupuestos</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Menu 1</v>
      </c>
      <c r="C20" s="114" t="str" cm="1">
        <f t="array" ref="C20">IFERROR(INDEX('03.Muestra'!$F$8:$F$42,SMALL(IF("Página Web"='03.Muestra'!$D$8:$D$42,ROW('03.Muestra'!$F$8:$F$42)-MIN(ROW('03.Muestra'!$D$8:$D$42))+1,""),ROW()-18)),"")</f>
        <v>http://www.madrid.org/presupuestos/index.php/presupuestos-generales/presupuestos-cm/2022</v>
      </c>
      <c r="D20" s="130" t="s">
        <v>35</v>
      </c>
      <c r="E20" s="107" t="str">
        <f t="shared" si="0"/>
        <v/>
      </c>
      <c r="F20" s="120">
        <f ca="1">COUNTIF($D19:INDIRECT("$D" &amp;  SUM(ROW()-1,'03.Muestra'!$D$45)-1),F19)</f>
        <v>0</v>
      </c>
      <c r="G20" s="120">
        <f ca="1">COUNTIF($D19:INDIRECT("$D" &amp;  SUM(ROW()-1,'03.Muestra'!$D$45)-1),G19)</f>
        <v>0</v>
      </c>
      <c r="H20" s="120">
        <f ca="1">COUNTIF($D19:INDIRECT("$D" &amp;  SUM(ROW()-1,'03.Muestra'!$D$45)-1),H19)</f>
        <v>5</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Menu 2</v>
      </c>
      <c r="C21" s="114" t="str" cm="1">
        <f t="array" ref="C21">IFERROR(INDEX('03.Muestra'!$F$8:$F$42,SMALL(IF("Página Web"='03.Muestra'!$D$8:$D$42,ROW('03.Muestra'!$F$8:$F$42)-MIN(ROW('03.Muestra'!$D$8:$D$42))+1,""),ROW()-18)),"")</f>
        <v>http://www.madrid.org/presupuestos/index.php/ejecucion-presupuestaria</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Menu 3</v>
      </c>
      <c r="C22" s="114" t="str" cm="1">
        <f t="array" ref="C22">IFERROR(INDEX('03.Muestra'!$F$8:$F$42,SMALL(IF("Página Web"='03.Muestra'!$D$8:$D$42,ROW('03.Muestra'!$F$8:$F$42)-MIN(ROW('03.Muestra'!$D$8:$D$42))+1,""),ROW()-18)),"")</f>
        <v>http://www.madrid.org/presupuestos/index.php/transparencia</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Accesibilidad</v>
      </c>
      <c r="C23" s="114" t="str" cm="1">
        <f t="array" ref="C23">IFERROR(INDEX('03.Muestra'!$F$8:$F$42,SMALL(IF("Página Web"='03.Muestra'!$D$8:$D$42,ROW('03.Muestra'!$F$8:$F$42)-MIN(ROW('03.Muestra'!$D$8:$D$42))+1,""),ROW()-18)),"")</f>
        <v>http://www.madrid.org/presupuestos/index.php/accesibilidad-web</v>
      </c>
      <c r="D23" s="130" t="s">
        <v>35</v>
      </c>
      <c r="E23" s="107" t="str">
        <f t="shared" si="0"/>
        <v/>
      </c>
      <c r="G23" s="19"/>
      <c r="H23" s="19"/>
      <c r="I23" s="19"/>
      <c r="J23" s="19"/>
      <c r="K23" s="117" t="s">
        <v>35</v>
      </c>
      <c r="L23" s="121" t="s">
        <v>36</v>
      </c>
    </row>
    <row r="24" spans="1:13"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ref="D24:D53" si="1">IF(AND(B24&lt;&gt;"",C24&lt;&gt;""),"N/T","")</f>
        <v/>
      </c>
      <c r="E24" s="107" t="str">
        <f t="shared" si="0"/>
        <v/>
      </c>
      <c r="G24" s="19"/>
      <c r="H24" s="19"/>
      <c r="I24" s="19"/>
      <c r="J24" s="19"/>
      <c r="K24" s="116" t="s">
        <v>37</v>
      </c>
      <c r="L24" s="121" t="s">
        <v>38</v>
      </c>
    </row>
    <row r="25" spans="1:13"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row>
    <row r="26" spans="1:13"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row>
    <row r="27" spans="1:13"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K27" s="19"/>
    </row>
    <row r="28" spans="1:13"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K28" s="19"/>
    </row>
    <row r="29" spans="1:13"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K29" s="19"/>
    </row>
    <row r="30" spans="1:13"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row>
    <row r="31" spans="1:13"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row>
    <row r="32" spans="1:13"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row>
    <row r="33" spans="1:11"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row>
    <row r="34" spans="1:11"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http://www.madrid.org/presupuestos</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Menu 1</v>
      </c>
      <c r="C58" s="114" t="str" cm="1">
        <f t="array" ref="C58">IFERROR(INDEX('03.Muestra'!$F$8:$F$42,SMALL(IF("Página Web"='03.Muestra'!$D$8:$D$42,ROW('03.Muestra'!$F$8:$F$42)-MIN(ROW('03.Muestra'!$D$8:$D$42))+1,""),ROW()-56)),"")</f>
        <v>http://www.madrid.org/presupuestos/index.php/presupuestos-generales/presupuestos-cm/2022</v>
      </c>
      <c r="D58" s="130" t="s">
        <v>35</v>
      </c>
      <c r="E58" s="107" t="str">
        <f t="shared" si="2"/>
        <v/>
      </c>
      <c r="F58" s="120">
        <f ca="1">COUNTIF($D57:INDIRECT("$D" &amp;  SUM(ROW()-1,'03.Muestra'!$D$45)-1),F57)</f>
        <v>0</v>
      </c>
      <c r="G58" s="120">
        <f ca="1">COUNTIF($D57:INDIRECT("$D" &amp;  SUM(ROW()-1,'03.Muestra'!$D$45)-1),G57)</f>
        <v>0</v>
      </c>
      <c r="H58" s="120">
        <f ca="1">COUNTIF($D57:INDIRECT("$D" &amp;  SUM(ROW()-1,'03.Muestra'!$D$45)-1),H57)</f>
        <v>5</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Menu 2</v>
      </c>
      <c r="C59" s="114" t="str" cm="1">
        <f t="array" ref="C59">IFERROR(INDEX('03.Muestra'!$F$8:$F$42,SMALL(IF("Página Web"='03.Muestra'!$D$8:$D$42,ROW('03.Muestra'!$F$8:$F$42)-MIN(ROW('03.Muestra'!$D$8:$D$42))+1,""),ROW()-56)),"")</f>
        <v>http://www.madrid.org/presupuestos/index.php/ejecucion-presupuestaria</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Menu 3</v>
      </c>
      <c r="C60" s="114" t="str" cm="1">
        <f t="array" ref="C60">IFERROR(INDEX('03.Muestra'!$F$8:$F$42,SMALL(IF("Página Web"='03.Muestra'!$D$8:$D$42,ROW('03.Muestra'!$F$8:$F$42)-MIN(ROW('03.Muestra'!$D$8:$D$42))+1,""),ROW()-56)),"")</f>
        <v>http://www.madrid.org/presupuestos/index.php/transparencia</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Accesibilidad</v>
      </c>
      <c r="C61" s="114" t="str" cm="1">
        <f t="array" ref="C61">IFERROR(INDEX('03.Muestra'!$F$8:$F$42,SMALL(IF("Página Web"='03.Muestra'!$D$8:$D$42,ROW('03.Muestra'!$F$8:$F$42)-MIN(ROW('03.Muestra'!$D$8:$D$42))+1,""),ROW()-56)),"")</f>
        <v>http://www.madrid.org/presupuestos/index.php/accesibilidad-web</v>
      </c>
      <c r="D61" s="130" t="s">
        <v>35</v>
      </c>
      <c r="E61" s="107" t="str">
        <f t="shared" si="2"/>
        <v/>
      </c>
      <c r="G61" s="19"/>
      <c r="H61" s="19"/>
      <c r="I61" s="19"/>
      <c r="J61" s="19"/>
      <c r="K61" s="233"/>
    </row>
    <row r="62" spans="1:11"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c r="E62" s="107" t="str">
        <f t="shared" si="2"/>
        <v/>
      </c>
      <c r="G62" s="19"/>
      <c r="H62" s="19"/>
      <c r="I62" s="19"/>
      <c r="J62" s="19"/>
      <c r="K62" s="233"/>
    </row>
    <row r="63" spans="1:11"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ref="D63:D91" si="3">IF(AND(B63&lt;&gt;"",C63&lt;&gt;""),"N/T","")</f>
        <v/>
      </c>
      <c r="E63" s="107" t="str">
        <f t="shared" si="2"/>
        <v/>
      </c>
      <c r="F63" s="19"/>
      <c r="G63" s="19"/>
      <c r="H63" s="19"/>
      <c r="I63" s="19"/>
      <c r="J63" s="19"/>
      <c r="K63" s="233"/>
    </row>
    <row r="64" spans="1:11"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row>
    <row r="65" spans="1:11"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row>
    <row r="66" spans="1:11"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row>
    <row r="67" spans="1:11"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row>
    <row r="68" spans="1:11"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row>
    <row r="69" spans="1:11"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row>
    <row r="70" spans="1:11"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row>
    <row r="71" spans="1:11"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row>
    <row r="72" spans="1:11"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http://www.madrid.org/presupuestos</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Menu 1</v>
      </c>
      <c r="C96" s="114" t="str" cm="1">
        <f t="array" ref="C96">IFERROR(INDEX('03.Muestra'!$F$8:$F$42,SMALL(IF("Página Web"='03.Muestra'!$D$8:$D$42,ROW('03.Muestra'!$F$8:$F$42)-MIN(ROW('03.Muestra'!$D$8:$D$42))+1,""),ROW()-94)),"")</f>
        <v>http://www.madrid.org/presupuestos/index.php/presupuestos-generales/presupuestos-cm/2022</v>
      </c>
      <c r="D96" s="130" t="s">
        <v>35</v>
      </c>
      <c r="E96" s="107" t="str">
        <f t="shared" si="4"/>
        <v/>
      </c>
      <c r="F96" s="120">
        <f ca="1">COUNTIF($D95:INDIRECT("$D" &amp;  SUM(ROW()-1,'03.Muestra'!$D$45)-1),F95)</f>
        <v>0</v>
      </c>
      <c r="G96" s="120">
        <f ca="1">COUNTIF($D95:INDIRECT("$D" &amp;  SUM(ROW()-1,'03.Muestra'!$D$45)-1),G95)</f>
        <v>0</v>
      </c>
      <c r="H96" s="120">
        <f ca="1">COUNTIF($D95:INDIRECT("$D" &amp;  SUM(ROW()-1,'03.Muestra'!$D$45)-1),H95)</f>
        <v>5</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Menu 2</v>
      </c>
      <c r="C97" s="114" t="str" cm="1">
        <f t="array" ref="C97">IFERROR(INDEX('03.Muestra'!$F$8:$F$42,SMALL(IF("Página Web"='03.Muestra'!$D$8:$D$42,ROW('03.Muestra'!$F$8:$F$42)-MIN(ROW('03.Muestra'!$D$8:$D$42))+1,""),ROW()-94)),"")</f>
        <v>http://www.madrid.org/presupuestos/index.php/ejecucion-presupuestaria</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Menu 3</v>
      </c>
      <c r="C98" s="114" t="str" cm="1">
        <f t="array" ref="C98">IFERROR(INDEX('03.Muestra'!$F$8:$F$42,SMALL(IF("Página Web"='03.Muestra'!$D$8:$D$42,ROW('03.Muestra'!$F$8:$F$42)-MIN(ROW('03.Muestra'!$D$8:$D$42))+1,""),ROW()-94)),"")</f>
        <v>http://www.madrid.org/presupuestos/index.php/transparencia</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Accesibilidad</v>
      </c>
      <c r="C99" s="114" t="str" cm="1">
        <f t="array" ref="C99">IFERROR(INDEX('03.Muestra'!$F$8:$F$42,SMALL(IF("Página Web"='03.Muestra'!$D$8:$D$42,ROW('03.Muestra'!$F$8:$F$42)-MIN(ROW('03.Muestra'!$D$8:$D$42))+1,""),ROW()-94)),"")</f>
        <v>http://www.madrid.org/presupuestos/index.php/accesibilidad-web</v>
      </c>
      <c r="D99" s="130" t="s">
        <v>35</v>
      </c>
      <c r="E99" s="107" t="str">
        <f t="shared" si="4"/>
        <v/>
      </c>
      <c r="G99" s="19"/>
      <c r="H99" s="19"/>
      <c r="I99" s="19"/>
      <c r="J99" s="19"/>
      <c r="K99" s="233"/>
    </row>
    <row r="100" spans="1:11"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c r="E100" s="107" t="str">
        <f t="shared" si="4"/>
        <v/>
      </c>
      <c r="G100" s="19"/>
      <c r="H100" s="19"/>
      <c r="I100" s="19"/>
      <c r="J100" s="19"/>
      <c r="K100" s="233"/>
    </row>
    <row r="101" spans="1:11"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ref="D101:D129" si="5">IF(AND(B101&lt;&gt;"",C101&lt;&gt;""),"N/T","")</f>
        <v/>
      </c>
      <c r="E101" s="107" t="str">
        <f t="shared" si="4"/>
        <v/>
      </c>
      <c r="F101" s="19"/>
      <c r="G101" s="19"/>
      <c r="H101" s="19"/>
      <c r="I101" s="19"/>
      <c r="J101" s="19"/>
      <c r="K101" s="233"/>
    </row>
    <row r="102" spans="1:11"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row>
    <row r="103" spans="1:11"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row>
    <row r="104" spans="1:11"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row>
    <row r="105" spans="1:11"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row>
    <row r="106" spans="1:11"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row>
    <row r="107" spans="1:11"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row>
    <row r="108" spans="1:11"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row>
    <row r="109" spans="1:11"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row>
    <row r="110" spans="1:11"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http://www.madrid.org/presupuestos</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Menu 1</v>
      </c>
      <c r="C134" s="114" t="str" cm="1">
        <f t="array" ref="C134">IFERROR(INDEX('03.Muestra'!$F$8:$F$42,SMALL(IF("Página Web"='03.Muestra'!$D$8:$D$42,ROW('03.Muestra'!$F$8:$F$42)-MIN(ROW('03.Muestra'!$D$8:$D$42))+1,""),ROW()-132)),"")</f>
        <v>http://www.madrid.org/presupuestos/index.php/presupuestos-generales/presupuestos-cm/2022</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5</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Menu 2</v>
      </c>
      <c r="C135" s="114" t="str" cm="1">
        <f t="array" ref="C135">IFERROR(INDEX('03.Muestra'!$F$8:$F$42,SMALL(IF("Página Web"='03.Muestra'!$D$8:$D$42,ROW('03.Muestra'!$F$8:$F$42)-MIN(ROW('03.Muestra'!$D$8:$D$42))+1,""),ROW()-132)),"")</f>
        <v>http://www.madrid.org/presupuestos/index.php/ejecucion-presupuestaria</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Menu 3</v>
      </c>
      <c r="C136" s="114" t="str" cm="1">
        <f t="array" ref="C136">IFERROR(INDEX('03.Muestra'!$F$8:$F$42,SMALL(IF("Página Web"='03.Muestra'!$D$8:$D$42,ROW('03.Muestra'!$F$8:$F$42)-MIN(ROW('03.Muestra'!$D$8:$D$42))+1,""),ROW()-132)),"")</f>
        <v>http://www.madrid.org/presupuestos/index.php/transparencia</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Accesibilidad</v>
      </c>
      <c r="C137" s="114" t="str" cm="1">
        <f t="array" ref="C137">IFERROR(INDEX('03.Muestra'!$F$8:$F$42,SMALL(IF("Página Web"='03.Muestra'!$D$8:$D$42,ROW('03.Muestra'!$F$8:$F$42)-MIN(ROW('03.Muestra'!$D$8:$D$42))+1,""),ROW()-132)),"")</f>
        <v>http://www.madrid.org/presupuestos/index.php/accesibilidad-web</v>
      </c>
      <c r="D137" s="130" t="s">
        <v>35</v>
      </c>
      <c r="E137" s="107" t="str">
        <f t="shared" si="6"/>
        <v/>
      </c>
      <c r="G137" s="19"/>
      <c r="H137" s="19"/>
      <c r="I137" s="19"/>
      <c r="J137" s="19"/>
      <c r="K137" s="233"/>
    </row>
    <row r="138" spans="1:11"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ref="D138:D167" si="7">IF(AND(B138&lt;&gt;"",C138&lt;&gt;""),"N/T","")</f>
        <v/>
      </c>
      <c r="E138" s="107" t="str">
        <f t="shared" si="6"/>
        <v/>
      </c>
      <c r="G138" s="19"/>
      <c r="H138" s="19"/>
      <c r="I138" s="19"/>
      <c r="J138" s="19"/>
      <c r="K138" s="233"/>
    </row>
    <row r="139" spans="1:11"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row>
    <row r="140" spans="1:11"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row>
    <row r="141" spans="1:11"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row>
    <row r="142" spans="1:11"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row>
    <row r="143" spans="1:11"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row>
    <row r="144" spans="1:11"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row>
    <row r="145" spans="1:11"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row>
    <row r="146" spans="1:11"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row>
    <row r="147" spans="1:11"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row>
    <row r="148" spans="1:11"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http://www.madrid.org/presupuestos</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Menu 1</v>
      </c>
      <c r="C172" s="114" t="str" cm="1">
        <f t="array" ref="C172">IFERROR(INDEX('03.Muestra'!$F$8:$F$42,SMALL(IF("Página Web"='03.Muestra'!$D$8:$D$42,ROW('03.Muestra'!$F$8:$F$42)-MIN(ROW('03.Muestra'!$D$8:$D$42))+1,""),ROW()-170)),"")</f>
        <v>http://www.madrid.org/presupuestos/index.php/presupuestos-generales/presupuestos-cm/2022</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5</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Menu 2</v>
      </c>
      <c r="C173" s="114" t="str" cm="1">
        <f t="array" ref="C173">IFERROR(INDEX('03.Muestra'!$F$8:$F$42,SMALL(IF("Página Web"='03.Muestra'!$D$8:$D$42,ROW('03.Muestra'!$F$8:$F$42)-MIN(ROW('03.Muestra'!$D$8:$D$42))+1,""),ROW()-170)),"")</f>
        <v>http://www.madrid.org/presupuestos/index.php/ejecucion-presupuestaria</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Menu 3</v>
      </c>
      <c r="C174" s="114" t="str" cm="1">
        <f t="array" ref="C174">IFERROR(INDEX('03.Muestra'!$F$8:$F$42,SMALL(IF("Página Web"='03.Muestra'!$D$8:$D$42,ROW('03.Muestra'!$F$8:$F$42)-MIN(ROW('03.Muestra'!$D$8:$D$42))+1,""),ROW()-170)),"")</f>
        <v>http://www.madrid.org/presupuestos/index.php/transparencia</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Accesibilidad</v>
      </c>
      <c r="C175" s="114" t="str" cm="1">
        <f t="array" ref="C175">IFERROR(INDEX('03.Muestra'!$F$8:$F$42,SMALL(IF("Página Web"='03.Muestra'!$D$8:$D$42,ROW('03.Muestra'!$F$8:$F$42)-MIN(ROW('03.Muestra'!$D$8:$D$42))+1,""),ROW()-170)),"")</f>
        <v>http://www.madrid.org/presupuestos/index.php/accesibilidad-web</v>
      </c>
      <c r="D175" s="130" t="s">
        <v>35</v>
      </c>
      <c r="E175" s="107" t="str">
        <f t="shared" si="8"/>
        <v/>
      </c>
      <c r="G175" s="19"/>
      <c r="H175" s="19"/>
      <c r="I175" s="19"/>
      <c r="J175" s="19"/>
      <c r="K175" s="233"/>
    </row>
    <row r="176" spans="1:11"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c r="E176" s="107" t="str">
        <f t="shared" si="8"/>
        <v/>
      </c>
      <c r="G176" s="19"/>
      <c r="H176" s="19"/>
      <c r="I176" s="19"/>
      <c r="J176" s="19"/>
      <c r="K176" s="233"/>
    </row>
    <row r="177" spans="1:11"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ref="D177:D205" si="9">IF(AND(B177&lt;&gt;"",C177&lt;&gt;""),"N/T","")</f>
        <v/>
      </c>
      <c r="E177" s="107" t="str">
        <f t="shared" si="8"/>
        <v/>
      </c>
      <c r="F177" s="19"/>
      <c r="G177" s="19"/>
      <c r="H177" s="19"/>
      <c r="I177" s="19"/>
      <c r="J177" s="19"/>
      <c r="K177" s="233"/>
    </row>
    <row r="178" spans="1:11"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row>
    <row r="179" spans="1:11"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row>
    <row r="180" spans="1:11"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row>
    <row r="181" spans="1:11"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row>
    <row r="182" spans="1:11"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row>
    <row r="183" spans="1:11"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row>
    <row r="184" spans="1:11"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row>
    <row r="185" spans="1:11"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row>
    <row r="186" spans="1:11"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http://www.madrid.org/presupuestos</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Menu 1</v>
      </c>
      <c r="C210" s="114" t="str" cm="1">
        <f t="array" ref="C210">IFERROR(INDEX('03.Muestra'!$F$8:$F$42,SMALL(IF("Página Web"='03.Muestra'!$D$8:$D$42,ROW('03.Muestra'!$F$8:$F$42)-MIN(ROW('03.Muestra'!$D$8:$D$42))+1,""),ROW()-208)),"")</f>
        <v>http://www.madrid.org/presupuestos/index.php/presupuestos-generales/presupuestos-cm/2022</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5</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Menu 2</v>
      </c>
      <c r="C211" s="114" t="str" cm="1">
        <f t="array" ref="C211">IFERROR(INDEX('03.Muestra'!$F$8:$F$42,SMALL(IF("Página Web"='03.Muestra'!$D$8:$D$42,ROW('03.Muestra'!$F$8:$F$42)-MIN(ROW('03.Muestra'!$D$8:$D$42))+1,""),ROW()-208)),"")</f>
        <v>http://www.madrid.org/presupuestos/index.php/ejecucion-presupuestaria</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Menu 3</v>
      </c>
      <c r="C212" s="114" t="str" cm="1">
        <f t="array" ref="C212">IFERROR(INDEX('03.Muestra'!$F$8:$F$42,SMALL(IF("Página Web"='03.Muestra'!$D$8:$D$42,ROW('03.Muestra'!$F$8:$F$42)-MIN(ROW('03.Muestra'!$D$8:$D$42))+1,""),ROW()-208)),"")</f>
        <v>http://www.madrid.org/presupuestos/index.php/transparencia</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Accesibilidad</v>
      </c>
      <c r="C213" s="114" t="str" cm="1">
        <f t="array" ref="C213">IFERROR(INDEX('03.Muestra'!$F$8:$F$42,SMALL(IF("Página Web"='03.Muestra'!$D$8:$D$42,ROW('03.Muestra'!$F$8:$F$42)-MIN(ROW('03.Muestra'!$D$8:$D$42))+1,""),ROW()-208)),"")</f>
        <v>http://www.madrid.org/presupuestos/index.php/accesibilidad-web</v>
      </c>
      <c r="D213" s="130" t="s">
        <v>35</v>
      </c>
      <c r="E213" s="107" t="str">
        <f t="shared" si="10"/>
        <v/>
      </c>
      <c r="G213" s="19"/>
      <c r="H213" s="19"/>
      <c r="I213" s="19"/>
      <c r="J213" s="19"/>
      <c r="K213" s="233"/>
    </row>
    <row r="214" spans="1:11"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t="str">
        <f t="shared" ref="D214:D243" si="11">IF(AND(B214&lt;&gt;"",C214&lt;&gt;""),"N/T","")</f>
        <v/>
      </c>
      <c r="E214" s="107" t="str">
        <f t="shared" si="10"/>
        <v/>
      </c>
      <c r="G214" s="19"/>
      <c r="H214" s="19"/>
      <c r="I214" s="19"/>
      <c r="J214" s="19"/>
      <c r="K214" s="233"/>
    </row>
    <row r="215" spans="1:11"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si="11"/>
        <v/>
      </c>
      <c r="E215" s="107" t="str">
        <f t="shared" si="10"/>
        <v/>
      </c>
      <c r="F215" s="19"/>
      <c r="G215" s="19"/>
      <c r="H215" s="19"/>
      <c r="I215" s="19"/>
      <c r="J215" s="19"/>
      <c r="K215" s="233"/>
    </row>
    <row r="216" spans="1:11"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33"/>
    </row>
    <row r="217" spans="1:11"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33"/>
    </row>
    <row r="218" spans="1:11"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33"/>
    </row>
    <row r="219" spans="1:11"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33"/>
    </row>
    <row r="220" spans="1:11"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row>
    <row r="221" spans="1:11"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row>
    <row r="222" spans="1:11"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row>
    <row r="223" spans="1:11"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row>
    <row r="224" spans="1:11"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77" priority="1280" stopIfTrue="1" operator="equal">
      <formula>"ERR"</formula>
    </cfRule>
  </conditionalFormatting>
  <conditionalFormatting sqref="F19:J19 F57:J57 F95:J95 F133:J133 F171:J171 F209:J209 D19:D53 D57:D91 D95:D129 D133:D167 D171:D205 D209:D243">
    <cfRule type="expression" dxfId="276" priority="1274" stopIfTrue="1">
      <formula>ISBLANK(D19)</formula>
    </cfRule>
    <cfRule type="cellIs" dxfId="275" priority="1275" stopIfTrue="1" operator="equal">
      <formula>"Pasa"</formula>
    </cfRule>
    <cfRule type="cellIs" dxfId="274" priority="1276" stopIfTrue="1" operator="equal">
      <formula>"Falla"</formula>
    </cfRule>
    <cfRule type="cellIs" dxfId="273" priority="1277" stopIfTrue="1" operator="equal">
      <formula>"N/A"</formula>
    </cfRule>
    <cfRule type="cellIs" dxfId="272" priority="1278" stopIfTrue="1" operator="equal">
      <formula>"N/T"</formula>
    </cfRule>
    <cfRule type="cellIs" dxfId="271" priority="1279" stopIfTrue="1" operator="equal">
      <formula>"N/D"</formula>
    </cfRule>
  </conditionalFormatting>
  <conditionalFormatting sqref="D1:D7 D11:D1048576">
    <cfRule type="cellIs" dxfId="270" priority="1027" stopIfTrue="1" operator="equal">
      <formula>"-"</formula>
    </cfRule>
  </conditionalFormatting>
  <conditionalFormatting sqref="D19:D53">
    <cfRule type="expression" dxfId="269" priority="517" stopIfTrue="1">
      <formula>ISBLANK(D19)</formula>
    </cfRule>
    <cfRule type="cellIs" dxfId="268" priority="518" stopIfTrue="1" operator="equal">
      <formula>"Pasa"</formula>
    </cfRule>
    <cfRule type="cellIs" dxfId="267" priority="519" stopIfTrue="1" operator="equal">
      <formula>"Falla"</formula>
    </cfRule>
    <cfRule type="cellIs" dxfId="266" priority="520" stopIfTrue="1" operator="equal">
      <formula>"N/A"</formula>
    </cfRule>
    <cfRule type="cellIs" dxfId="265" priority="521" stopIfTrue="1" operator="equal">
      <formula>"N/T"</formula>
    </cfRule>
    <cfRule type="cellIs" dxfId="264" priority="522" stopIfTrue="1" operator="equal">
      <formula>"N/D"</formula>
    </cfRule>
  </conditionalFormatting>
  <conditionalFormatting sqref="D19:D53">
    <cfRule type="expression" dxfId="263" priority="511" stopIfTrue="1">
      <formula>ISBLANK(D19)</formula>
    </cfRule>
    <cfRule type="cellIs" dxfId="262" priority="512" stopIfTrue="1" operator="equal">
      <formula>"Pasa"</formula>
    </cfRule>
    <cfRule type="cellIs" dxfId="261" priority="513" stopIfTrue="1" operator="equal">
      <formula>"Falla"</formula>
    </cfRule>
    <cfRule type="cellIs" dxfId="260" priority="514" stopIfTrue="1" operator="equal">
      <formula>"N/A"</formula>
    </cfRule>
    <cfRule type="cellIs" dxfId="259" priority="515" stopIfTrue="1" operator="equal">
      <formula>"N/T"</formula>
    </cfRule>
    <cfRule type="cellIs" dxfId="258" priority="516" stopIfTrue="1" operator="equal">
      <formula>"N/D"</formula>
    </cfRule>
  </conditionalFormatting>
  <conditionalFormatting sqref="D57:D91">
    <cfRule type="expression" dxfId="257" priority="505" stopIfTrue="1">
      <formula>ISBLANK(D57)</formula>
    </cfRule>
    <cfRule type="cellIs" dxfId="256" priority="506" stopIfTrue="1" operator="equal">
      <formula>"Pasa"</formula>
    </cfRule>
    <cfRule type="cellIs" dxfId="255" priority="507" stopIfTrue="1" operator="equal">
      <formula>"Falla"</formula>
    </cfRule>
    <cfRule type="cellIs" dxfId="254" priority="508" stopIfTrue="1" operator="equal">
      <formula>"N/A"</formula>
    </cfRule>
    <cfRule type="cellIs" dxfId="253" priority="509" stopIfTrue="1" operator="equal">
      <formula>"N/T"</formula>
    </cfRule>
    <cfRule type="cellIs" dxfId="252" priority="510" stopIfTrue="1" operator="equal">
      <formula>"N/D"</formula>
    </cfRule>
  </conditionalFormatting>
  <conditionalFormatting sqref="D57:D91">
    <cfRule type="expression" dxfId="251" priority="499" stopIfTrue="1">
      <formula>ISBLANK(D57)</formula>
    </cfRule>
    <cfRule type="cellIs" dxfId="250" priority="500" stopIfTrue="1" operator="equal">
      <formula>"Pasa"</formula>
    </cfRule>
    <cfRule type="cellIs" dxfId="249" priority="501" stopIfTrue="1" operator="equal">
      <formula>"Falla"</formula>
    </cfRule>
    <cfRule type="cellIs" dxfId="248" priority="502" stopIfTrue="1" operator="equal">
      <formula>"N/A"</formula>
    </cfRule>
    <cfRule type="cellIs" dxfId="247" priority="503" stopIfTrue="1" operator="equal">
      <formula>"N/T"</formula>
    </cfRule>
    <cfRule type="cellIs" dxfId="246" priority="504" stopIfTrue="1" operator="equal">
      <formula>"N/D"</formula>
    </cfRule>
  </conditionalFormatting>
  <conditionalFormatting sqref="D95:D129">
    <cfRule type="expression" dxfId="245" priority="493" stopIfTrue="1">
      <formula>ISBLANK(D95)</formula>
    </cfRule>
    <cfRule type="cellIs" dxfId="244" priority="494" stopIfTrue="1" operator="equal">
      <formula>"Pasa"</formula>
    </cfRule>
    <cfRule type="cellIs" dxfId="243" priority="495" stopIfTrue="1" operator="equal">
      <formula>"Falla"</formula>
    </cfRule>
    <cfRule type="cellIs" dxfId="242" priority="496" stopIfTrue="1" operator="equal">
      <formula>"N/A"</formula>
    </cfRule>
    <cfRule type="cellIs" dxfId="241" priority="497" stopIfTrue="1" operator="equal">
      <formula>"N/T"</formula>
    </cfRule>
    <cfRule type="cellIs" dxfId="240" priority="498" stopIfTrue="1" operator="equal">
      <formula>"N/D"</formula>
    </cfRule>
  </conditionalFormatting>
  <conditionalFormatting sqref="D95:D129">
    <cfRule type="expression" dxfId="239" priority="487" stopIfTrue="1">
      <formula>ISBLANK(D95)</formula>
    </cfRule>
    <cfRule type="cellIs" dxfId="238" priority="488" stopIfTrue="1" operator="equal">
      <formula>"Pasa"</formula>
    </cfRule>
    <cfRule type="cellIs" dxfId="237" priority="489" stopIfTrue="1" operator="equal">
      <formula>"Falla"</formula>
    </cfRule>
    <cfRule type="cellIs" dxfId="236" priority="490" stopIfTrue="1" operator="equal">
      <formula>"N/A"</formula>
    </cfRule>
    <cfRule type="cellIs" dxfId="235" priority="491" stopIfTrue="1" operator="equal">
      <formula>"N/T"</formula>
    </cfRule>
    <cfRule type="cellIs" dxfId="234" priority="492" stopIfTrue="1" operator="equal">
      <formula>"N/D"</formula>
    </cfRule>
  </conditionalFormatting>
  <conditionalFormatting sqref="D133:D167">
    <cfRule type="expression" dxfId="233" priority="481" stopIfTrue="1">
      <formula>ISBLANK(D133)</formula>
    </cfRule>
    <cfRule type="cellIs" dxfId="232" priority="482" stopIfTrue="1" operator="equal">
      <formula>"Pasa"</formula>
    </cfRule>
    <cfRule type="cellIs" dxfId="231" priority="483" stopIfTrue="1" operator="equal">
      <formula>"Falla"</formula>
    </cfRule>
    <cfRule type="cellIs" dxfId="230" priority="484" stopIfTrue="1" operator="equal">
      <formula>"N/A"</formula>
    </cfRule>
    <cfRule type="cellIs" dxfId="229" priority="485" stopIfTrue="1" operator="equal">
      <formula>"N/T"</formula>
    </cfRule>
    <cfRule type="cellIs" dxfId="228" priority="486" stopIfTrue="1" operator="equal">
      <formula>"N/D"</formula>
    </cfRule>
  </conditionalFormatting>
  <conditionalFormatting sqref="D133:D167">
    <cfRule type="expression" dxfId="227" priority="475" stopIfTrue="1">
      <formula>ISBLANK(D133)</formula>
    </cfRule>
    <cfRule type="cellIs" dxfId="226" priority="476" stopIfTrue="1" operator="equal">
      <formula>"Pasa"</formula>
    </cfRule>
    <cfRule type="cellIs" dxfId="225" priority="477" stopIfTrue="1" operator="equal">
      <formula>"Falla"</formula>
    </cfRule>
    <cfRule type="cellIs" dxfId="224" priority="478" stopIfTrue="1" operator="equal">
      <formula>"N/A"</formula>
    </cfRule>
    <cfRule type="cellIs" dxfId="223" priority="479" stopIfTrue="1" operator="equal">
      <formula>"N/T"</formula>
    </cfRule>
    <cfRule type="cellIs" dxfId="222" priority="480" stopIfTrue="1" operator="equal">
      <formula>"N/D"</formula>
    </cfRule>
  </conditionalFormatting>
  <conditionalFormatting sqref="D171:D205">
    <cfRule type="expression" dxfId="221" priority="469" stopIfTrue="1">
      <formula>ISBLANK(D171)</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71:D205">
    <cfRule type="expression" dxfId="215" priority="463" stopIfTrue="1">
      <formula>ISBLANK(D171)</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209:D243">
    <cfRule type="expression" dxfId="209" priority="457" stopIfTrue="1">
      <formula>ISBLANK(D209)</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209:D243">
    <cfRule type="expression" dxfId="203" priority="451" stopIfTrue="1">
      <formula>ISBLANK(D209)</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K23">
    <cfRule type="expression" dxfId="197" priority="55" stopIfTrue="1">
      <formula>ISBLANK(K23)</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K24">
    <cfRule type="expression" dxfId="191" priority="49" stopIfTrue="1">
      <formula>ISBLANK(K24)</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57:D60">
    <cfRule type="expression" dxfId="185" priority="43" stopIfTrue="1">
      <formula>ISBLANK(D57)</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57:D60">
    <cfRule type="expression" dxfId="179" priority="37" stopIfTrue="1">
      <formula>ISBLANK(D57)</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3:D136">
    <cfRule type="expression" dxfId="173" priority="31" stopIfTrue="1">
      <formula>ISBLANK(D133)</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3:D136">
    <cfRule type="expression" dxfId="167" priority="25" stopIfTrue="1">
      <formula>ISBLANK(D133)</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71:D174">
    <cfRule type="expression" dxfId="161" priority="19" stopIfTrue="1">
      <formula>ISBLANK(D171)</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71:D174">
    <cfRule type="expression" dxfId="155" priority="13" stopIfTrue="1">
      <formula>ISBLANK(D171)</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09:D212">
    <cfRule type="expression" dxfId="149" priority="7" stopIfTrue="1">
      <formula>ISBLANK(D209)</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09:D212">
    <cfRule type="expression" dxfId="143" priority="1" stopIfTrue="1">
      <formula>ISBLANK(D209)</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topLeftCell="A105" zoomScale="65" zoomScaleNormal="65" workbookViewId="0">
      <selection activeCell="D137" sqref="D136:D137"/>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5" customHeight="1">
      <c r="B7" s="19"/>
      <c r="C7" s="19"/>
      <c r="D7" s="19"/>
      <c r="E7" s="107"/>
      <c r="F7" s="19"/>
      <c r="G7" s="19"/>
      <c r="H7" s="19"/>
      <c r="I7" s="19"/>
      <c r="J7" s="19"/>
      <c r="K7" s="19"/>
      <c r="L7" s="19"/>
      <c r="M7" s="19"/>
      <c r="N7" s="19"/>
      <c r="O7" s="19"/>
    </row>
    <row r="8" spans="1:64" ht="19" customHeight="1">
      <c r="B8" s="111" t="s">
        <v>97</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5</v>
      </c>
      <c r="H12" s="53">
        <f ca="1">IF(($G$15+$K$15)=0,0,G12/($G$15+$K$15))</f>
        <v>0.2</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15</v>
      </c>
      <c r="H13" s="53">
        <f ca="1">IF(($G$15+$K$15)=0,0,G13/($G$15+$K$15))</f>
        <v>0.6</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5</v>
      </c>
      <c r="H14" s="53">
        <f ca="1">IF(($G$15+$K$15)=0,0,G14/($G$15+$K$15))</f>
        <v>0.2</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25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http://www.madrid.org/presupuestos</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Menu 1</v>
      </c>
      <c r="C20" s="114" t="str" cm="1">
        <f t="array" ref="C20">IFERROR(INDEX('03.Muestra'!$F$8:$F$42,SMALL(IF("Página Web"='03.Muestra'!$D$8:$D$42,ROW('03.Muestra'!$F$8:$F$42)-MIN(ROW('03.Muestra'!$D$8:$D$42))+1,""),ROW()-18)),"")</f>
        <v>http://www.madrid.org/presupuestos/index.php/presupuestos-generales/presupuestos-cm/2022</v>
      </c>
      <c r="D20" s="130" t="s">
        <v>35</v>
      </c>
      <c r="E20" s="107" t="str">
        <f t="shared" si="0"/>
        <v/>
      </c>
      <c r="F20" s="120">
        <f ca="1">COUNTIF($D19:INDIRECT("$D" &amp;  SUM(ROW()-1,'03.Muestra'!$D$45)-1),F19)</f>
        <v>0</v>
      </c>
      <c r="G20" s="120">
        <f ca="1">COUNTIF($D19:INDIRECT("$D" &amp;  SUM(ROW()-1,'03.Muestra'!$D$45)-1),G19)</f>
        <v>0</v>
      </c>
      <c r="H20" s="120">
        <f ca="1">COUNTIF($D19:INDIRECT("$D" &amp;  SUM(ROW()-1,'03.Muestra'!$D$45)-1),H19)</f>
        <v>5</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Menu 2</v>
      </c>
      <c r="C21" s="114" t="str" cm="1">
        <f t="array" ref="C21">IFERROR(INDEX('03.Muestra'!$F$8:$F$42,SMALL(IF("Página Web"='03.Muestra'!$D$8:$D$42,ROW('03.Muestra'!$F$8:$F$42)-MIN(ROW('03.Muestra'!$D$8:$D$42))+1,""),ROW()-18)),"")</f>
        <v>http://www.madrid.org/presupuestos/index.php/ejecucion-presupuestaria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Menu 3</v>
      </c>
      <c r="C22" s="114" t="str" cm="1">
        <f t="array" ref="C22">IFERROR(INDEX('03.Muestra'!$F$8:$F$42,SMALL(IF("Página Web"='03.Muestra'!$D$8:$D$42,ROW('03.Muestra'!$F$8:$F$42)-MIN(ROW('03.Muestra'!$D$8:$D$42))+1,""),ROW()-18)),"")</f>
        <v>http://www.madrid.org/presupuestos/index.php/transparencia</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Accesibilidad</v>
      </c>
      <c r="C23" s="114" t="str" cm="1">
        <f t="array" ref="C23">IFERROR(INDEX('03.Muestra'!$F$8:$F$42,SMALL(IF("Página Web"='03.Muestra'!$D$8:$D$42,ROW('03.Muestra'!$F$8:$F$42)-MIN(ROW('03.Muestra'!$D$8:$D$42))+1,""),ROW()-18)),"")</f>
        <v>http://www.madrid.org/presupuestos/index.php/accesibilidad-web</v>
      </c>
      <c r="D23" s="130" t="s">
        <v>35</v>
      </c>
      <c r="E23" s="107" t="str">
        <f t="shared" si="0"/>
        <v/>
      </c>
      <c r="F23" s="122"/>
      <c r="G23" s="19"/>
      <c r="H23" s="19"/>
      <c r="I23" s="19"/>
      <c r="K23" s="117" t="s">
        <v>35</v>
      </c>
      <c r="L23" s="121" t="s">
        <v>36</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c r="E24" s="107" t="str">
        <f t="shared" si="0"/>
        <v/>
      </c>
      <c r="F24" s="19"/>
      <c r="G24" s="19"/>
      <c r="H24" s="19"/>
      <c r="I24" s="19"/>
      <c r="K24" s="116" t="s">
        <v>37</v>
      </c>
      <c r="L24" s="121" t="s">
        <v>38</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ref="D25:D53" si="1">IF(AND(B25&lt;&gt;"",C25&lt;&gt;""),"N/T","")</f>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http://www.madrid.org/presupuestos</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Menu 1</v>
      </c>
      <c r="C58" s="114" t="str" cm="1">
        <f t="array" ref="C58">IFERROR(INDEX('03.Muestra'!$F$8:$F$42,SMALL(IF("Página Web"='03.Muestra'!$D$8:$D$42,ROW('03.Muestra'!$F$8:$F$42)-MIN(ROW('03.Muestra'!$D$8:$D$42))+1,""),ROW()-56)),"")</f>
        <v>http://www.madrid.org/presupuestos/index.php/presupuestos-generales/presupuestos-cm/2022</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5</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Menu 2</v>
      </c>
      <c r="C59" s="114" t="str" cm="1">
        <f t="array" ref="C59">IFERROR(INDEX('03.Muestra'!$F$8:$F$42,SMALL(IF("Página Web"='03.Muestra'!$D$8:$D$42,ROW('03.Muestra'!$F$8:$F$42)-MIN(ROW('03.Muestra'!$D$8:$D$42))+1,""),ROW()-56)),"")</f>
        <v>http://www.madrid.org/presupuestos/index.php/ejecucion-presupuestaria</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Menu 3</v>
      </c>
      <c r="C60" s="114" t="str" cm="1">
        <f t="array" ref="C60">IFERROR(INDEX('03.Muestra'!$F$8:$F$42,SMALL(IF("Página Web"='03.Muestra'!$D$8:$D$42,ROW('03.Muestra'!$F$8:$F$42)-MIN(ROW('03.Muestra'!$D$8:$D$42))+1,""),ROW()-56)),"")</f>
        <v>http://www.madrid.org/presupuestos/index.php/transparencia</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Accesibilidad</v>
      </c>
      <c r="C61" s="114" t="str" cm="1">
        <f t="array" ref="C61">IFERROR(INDEX('03.Muestra'!$F$8:$F$42,SMALL(IF("Página Web"='03.Muestra'!$D$8:$D$42,ROW('03.Muestra'!$F$8:$F$42)-MIN(ROW('03.Muestra'!$D$8:$D$42))+1,""),ROW()-56)),"")</f>
        <v>http://www.madrid.org/presupuestos/index.php/accesibilidad-web</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ref="D63:D91" si="3">IF(AND(B63&lt;&gt;"",C63&lt;&gt;""),"N/T","")</f>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http://www.madrid.org/presupuestos</v>
      </c>
      <c r="D95" s="130" t="s">
        <v>28</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Menu 1</v>
      </c>
      <c r="C96" s="114" t="str" cm="1">
        <f t="array" ref="C96">IFERROR(INDEX('03.Muestra'!$F$8:$F$42,SMALL(IF("Página Web"='03.Muestra'!$D$8:$D$42,ROW('03.Muestra'!$F$8:$F$42)-MIN(ROW('03.Muestra'!$D$8:$D$42))+1,""),ROW()-94)),"")</f>
        <v>http://www.madrid.org/presupuestos/index.php/presupuestos-generales/presupuestos-cm/2022</v>
      </c>
      <c r="D96" s="130" t="s">
        <v>28</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5</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Menu 2</v>
      </c>
      <c r="C97" s="114" t="str" cm="1">
        <f t="array" ref="C97">IFERROR(INDEX('03.Muestra'!$F$8:$F$42,SMALL(IF("Página Web"='03.Muestra'!$D$8:$D$42,ROW('03.Muestra'!$F$8:$F$42)-MIN(ROW('03.Muestra'!$D$8:$D$42))+1,""),ROW()-94)),"")</f>
        <v>http://www.madrid.org/presupuestos/index.php/ejecucion-presupuestaria</v>
      </c>
      <c r="D97" s="130" t="s">
        <v>28</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Menu 3</v>
      </c>
      <c r="C98" s="114" t="str" cm="1">
        <f t="array" ref="C98">IFERROR(INDEX('03.Muestra'!$F$8:$F$42,SMALL(IF("Página Web"='03.Muestra'!$D$8:$D$42,ROW('03.Muestra'!$F$8:$F$42)-MIN(ROW('03.Muestra'!$D$8:$D$42))+1,""),ROW()-94)),"")</f>
        <v>http://www.madrid.org/presupuestos/index.php/transparencia</v>
      </c>
      <c r="D98" s="130" t="s">
        <v>28</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Accesibilidad</v>
      </c>
      <c r="C99" s="114" t="str" cm="1">
        <f t="array" ref="C99">IFERROR(INDEX('03.Muestra'!$F$8:$F$42,SMALL(IF("Página Web"='03.Muestra'!$D$8:$D$42,ROW('03.Muestra'!$F$8:$F$42)-MIN(ROW('03.Muestra'!$D$8:$D$42))+1,""),ROW()-94)),"")</f>
        <v>http://www.madrid.org/presupuestos/index.php/accesibilidad-web</v>
      </c>
      <c r="D99" s="130" t="s">
        <v>28</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ref="D101:D129" si="5">IF(AND(B101&lt;&gt;"",C101&lt;&gt;""),"N/T","")</f>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http://www.madrid.org/presupuestos</v>
      </c>
      <c r="D133" s="130" t="s">
        <v>26</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Menu 1</v>
      </c>
      <c r="C134" s="114" t="str" cm="1">
        <f t="array" ref="C134">IFERROR(INDEX('03.Muestra'!$F$8:$F$42,SMALL(IF("Página Web"='03.Muestra'!$D$8:$D$42,ROW('03.Muestra'!$F$8:$F$42)-MIN(ROW('03.Muestra'!$D$8:$D$42))+1,""),ROW()-132)),"")</f>
        <v>http://www.madrid.org/presupuestos/index.php/presupuestos-generales/presupuestos-cm/2022</v>
      </c>
      <c r="D134" s="130" t="s">
        <v>26</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5</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Menu 2</v>
      </c>
      <c r="C135" s="114" t="str" cm="1">
        <f t="array" ref="C135">IFERROR(INDEX('03.Muestra'!$F$8:$F$42,SMALL(IF("Página Web"='03.Muestra'!$D$8:$D$42,ROW('03.Muestra'!$F$8:$F$42)-MIN(ROW('03.Muestra'!$D$8:$D$42))+1,""),ROW()-132)),"")</f>
        <v>http://www.madrid.org/presupuestos/index.php/ejecucion-presupuestaria</v>
      </c>
      <c r="D135" s="130" t="s">
        <v>26</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Menu 3</v>
      </c>
      <c r="C136" s="114" t="str" cm="1">
        <f t="array" ref="C136">IFERROR(INDEX('03.Muestra'!$F$8:$F$42,SMALL(IF("Página Web"='03.Muestra'!$D$8:$D$42,ROW('03.Muestra'!$F$8:$F$42)-MIN(ROW('03.Muestra'!$D$8:$D$42))+1,""),ROW()-132)),"")</f>
        <v>http://www.madrid.org/presupuestos/index.php/transparencia</v>
      </c>
      <c r="D136" s="130" t="s">
        <v>26</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Accesibilidad</v>
      </c>
      <c r="C137" s="114" t="str" cm="1">
        <f t="array" ref="C137">IFERROR(INDEX('03.Muestra'!$F$8:$F$42,SMALL(IF("Página Web"='03.Muestra'!$D$8:$D$42,ROW('03.Muestra'!$F$8:$F$42)-MIN(ROW('03.Muestra'!$D$8:$D$42))+1,""),ROW()-132)),"")</f>
        <v>http://www.madrid.org/presupuestos/index.php/accesibilidad-web</v>
      </c>
      <c r="D137" s="130" t="s">
        <v>26</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ref="D138:D167" si="7">IF(AND(B138&lt;&gt;"",C138&lt;&gt;""),"N/T","")</f>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http://www.madrid.org/presupuestos</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Menu 1</v>
      </c>
      <c r="C172" s="114" t="str" cm="1">
        <f t="array" ref="C172">IFERROR(INDEX('03.Muestra'!$F$8:$F$42,SMALL(IF("Página Web"='03.Muestra'!$D$8:$D$42,ROW('03.Muestra'!$F$8:$F$42)-MIN(ROW('03.Muestra'!$D$8:$D$42))+1,""),ROW()-170)),"")</f>
        <v>http://www.madrid.org/presupuestos/index.php/presupuestos-generales/presupuestos-cm/2022</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5</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Menu 2</v>
      </c>
      <c r="C173" s="114" t="str" cm="1">
        <f t="array" ref="C173">IFERROR(INDEX('03.Muestra'!$F$8:$F$42,SMALL(IF("Página Web"='03.Muestra'!$D$8:$D$42,ROW('03.Muestra'!$F$8:$F$42)-MIN(ROW('03.Muestra'!$D$8:$D$42))+1,""),ROW()-170)),"")</f>
        <v>http://www.madrid.org/presupuestos/index.php/ejecucion-presupuestaria</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Menu 3</v>
      </c>
      <c r="C174" s="114" t="str" cm="1">
        <f t="array" ref="C174">IFERROR(INDEX('03.Muestra'!$F$8:$F$42,SMALL(IF("Página Web"='03.Muestra'!$D$8:$D$42,ROW('03.Muestra'!$F$8:$F$42)-MIN(ROW('03.Muestra'!$D$8:$D$42))+1,""),ROW()-170)),"")</f>
        <v>http://www.madrid.org/presupuestos/index.php/transparencia</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Accesibilidad</v>
      </c>
      <c r="C175" s="114" t="str" cm="1">
        <f t="array" ref="C175">IFERROR(INDEX('03.Muestra'!$F$8:$F$42,SMALL(IF("Página Web"='03.Muestra'!$D$8:$D$42,ROW('03.Muestra'!$F$8:$F$42)-MIN(ROW('03.Muestra'!$D$8:$D$42))+1,""),ROW()-170)),"")</f>
        <v>http://www.madrid.org/presupuestos/index.php/accesibilidad-web</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ref="D176:D205" si="9">IF(AND(B176&lt;&gt;"",C176&lt;&gt;""),"N/T","")</f>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19:D53 D57:D91 D95:D129 D133:D167 D171:D205">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X96"/>
  <sheetViews>
    <sheetView tabSelected="1" zoomScale="70" zoomScaleNormal="70" workbookViewId="0">
      <selection activeCell="D20" sqref="D20"/>
    </sheetView>
  </sheetViews>
  <sheetFormatPr baseColWidth="10" defaultColWidth="11.54296875" defaultRowHeight="12.5"/>
  <cols>
    <col min="1" max="1" width="3.1796875" style="14" customWidth="1"/>
    <col min="2" max="2" width="9.1796875" style="113" customWidth="1"/>
    <col min="3" max="3" width="18.54296875" style="102" customWidth="1"/>
    <col min="4" max="4" width="59.26953125" style="14" customWidth="1"/>
    <col min="5" max="29" width="16.453125" style="14" customWidth="1"/>
    <col min="30" max="106" width="19.54296875" style="14" customWidth="1"/>
    <col min="107" max="16384" width="11.5429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5"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5"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5"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67" t="s">
        <v>40</v>
      </c>
      <c r="L6" s="267"/>
      <c r="M6" s="267"/>
      <c r="N6" s="67"/>
      <c r="O6" s="267" t="s">
        <v>41</v>
      </c>
      <c r="P6" s="267"/>
      <c r="Q6" s="267"/>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68" t="s">
        <v>152</v>
      </c>
      <c r="D7" s="269"/>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0" t="s">
        <v>361</v>
      </c>
      <c r="D8" s="271"/>
      <c r="E8" s="46" t="str">
        <f ca="1">CONCATENATE(COUNTIF(E55:CR55,"CONFORME")," (",ROUND(COUNTIF(E55:CR55,"CONFORME")*100/COUNTA($E$19:CR$19),2)," %)")</f>
        <v>21 (22,83 %)</v>
      </c>
      <c r="F8" s="140" t="str">
        <f ca="1">CONCATENATE(COUNTIF(E55:CR55,"NO CONFORME")," (",ROUND(COUNTIF(E55:CR55,"NO CONFORME")*100/COUNTA($E$19:CR$19),2)," %)")</f>
        <v>14 (15,22 %)</v>
      </c>
      <c r="G8" s="47" t="str">
        <f ca="1">CONCATENATE(COUNTIF(E55:CR55,"N/A")," (",ROUND(COUNTIF(E55:CR55,"N/A")*100/COUNTA($E$19:CR$19),2)," %)")</f>
        <v>57 (61,96 %)</v>
      </c>
      <c r="H8" s="47">
        <f ca="1">COUNTIF(E55:CR55,"ERROR")</f>
        <v>0</v>
      </c>
      <c r="I8" s="48">
        <f ca="1">COUNTIF(E55:CR55,"EN CURSO")</f>
        <v>0</v>
      </c>
      <c r="J8" s="236">
        <f ca="1">SUM(VALUE(LEFT(E8,SEARCH(" ",E8)-1)),VALUE(LEFT(F8,SEARCH(" ",F8)-1)))</f>
        <v>35</v>
      </c>
      <c r="K8" s="52" t="s">
        <v>47</v>
      </c>
      <c r="L8" s="46">
        <f ca="1">COUNTIF( $E$20:INDIRECT("$CR$" &amp;  SUM(19,COUNTIFS(B20:B54,"&lt;&gt;"))),"Pasa")+ COUNTIF($E$61:INDIRECT("$AW$" &amp;  SUM(60,COUNTIFS(B61:B95,"&lt;&gt;"))),"Pasa")</f>
        <v>112</v>
      </c>
      <c r="M8" s="53">
        <f ca="1">IF(($L$11+$P$11)=0,0,L8/($L$11+$P$11))</f>
        <v>0.24347826086956523</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76" t="s">
        <v>154</v>
      </c>
      <c r="D9" s="277"/>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63</v>
      </c>
      <c r="M9" s="53">
        <f ca="1">IF(($L$11+$P$11)=0,0,L9/($L$11+$P$11))</f>
        <v>0.13695652173913042</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1" t="s">
        <v>340</v>
      </c>
      <c r="D10" s="282"/>
      <c r="E10" s="241" t="str">
        <f ca="1">CONCATENATE(ROUND(E11/137*100,2)," %")</f>
        <v>15,33 %</v>
      </c>
      <c r="F10" s="241" t="str">
        <f ca="1">CONCATENATE(ROUND(F11/137*100,2)," %")</f>
        <v>10,22 %</v>
      </c>
      <c r="G10" s="241" t="str">
        <f ca="1">CONCATENATE(ROUND(G11/137*100,2)," %")</f>
        <v>74,45 %</v>
      </c>
      <c r="H10" s="241" t="str">
        <f ca="1">CONCATENATE(ROUND(H11/137*100,2)," %")</f>
        <v>0 %</v>
      </c>
      <c r="I10" s="243" t="str">
        <f ca="1">CONCATENATE(ROUND(I11/137*100,2)," %")</f>
        <v>0 %</v>
      </c>
      <c r="J10" s="244"/>
      <c r="K10" s="52" t="s">
        <v>31</v>
      </c>
      <c r="L10" s="46">
        <f ca="1">COUNTIF( $E$20:INDIRECT("$CR$" &amp;  SUM(19,COUNTIFS(B20:B54,"&lt;&gt;"))),"N/A")+COUNTIF($E$61:INDIRECT("$AW$" &amp;  SUM(60,COUNTIFS(B61:B95,"&lt;&gt;"))),"N/A")</f>
        <v>285</v>
      </c>
      <c r="M10" s="53">
        <f ca="1">IF(($L$11+$P$11)=0,0,L10/($L$11+$P$11))</f>
        <v>0.61956521739130432</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75"/>
      <c r="D11" s="275"/>
      <c r="E11" s="242">
        <f ca="1">SUM(VALUE(LEFT(E8,SEARCH(" ",E8)-1)),VALUE(LEFT(E9,SEARCH(" ",E9)-1)))</f>
        <v>21</v>
      </c>
      <c r="F11" s="242">
        <f ca="1">SUM(VALUE(LEFT(F8,SEARCH(" ",F8)-1)),VALUE(LEFT(F9,SEARCH(" ",F9)-1)))</f>
        <v>14</v>
      </c>
      <c r="G11" s="242">
        <f ca="1">SUM(VALUE(LEFT(G8,SEARCH(" ",G8)-1)),VALUE(LEFT(G9,SEARCH(" ",G9)-1)))</f>
        <v>102</v>
      </c>
      <c r="H11" s="242">
        <f ca="1">SUM(H8:H9)</f>
        <v>0</v>
      </c>
      <c r="I11" s="242">
        <f ca="1">SUM(I8:I9)</f>
        <v>0</v>
      </c>
      <c r="K11" s="54" t="s">
        <v>48</v>
      </c>
      <c r="L11" s="49">
        <f ca="1">SUM(L8:L10)</f>
        <v>460</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78" t="s">
        <v>339</v>
      </c>
      <c r="G13" s="279"/>
      <c r="H13" s="279"/>
      <c r="I13" s="280"/>
      <c r="J13" s="91"/>
      <c r="K13" s="278" t="s">
        <v>273</v>
      </c>
      <c r="L13" s="280"/>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2">
        <f ca="1">IF(AND(D14&lt;&gt;"Evaluación en curso",D14&lt;&gt;"Evaluación con errores",D14&lt;&gt;""), IF(J8=0,"", ROUND(((COUNT(B20:B54)/(COUNT(B20:B54)+COUNT(B61:B95)))*IF(J8=0,0,LEFT(E8,SEARCH(" ",E8)-1)/J8)+(COUNT(B61:B95)/(COUNT(B20:B54)+COUNT(B61:B95)))*IF(J9=0,0,LEFT(E9,SEARCH(" ",E9)-1)/J9))*10,2)),"")</f>
        <v>6</v>
      </c>
      <c r="G14" s="273"/>
      <c r="H14" s="273"/>
      <c r="I14" s="274"/>
      <c r="J14" s="91"/>
      <c r="K14" s="272" t="str">
        <f>'03.Muestra'!D52</f>
        <v>NO</v>
      </c>
      <c r="L14" s="274"/>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6" t="s">
        <v>361</v>
      </c>
      <c r="C17" s="287"/>
      <c r="D17" s="288"/>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3" t="s">
        <v>50</v>
      </c>
      <c r="C18" s="284"/>
      <c r="D18" s="285"/>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http://www.madrid.org/presupuestos</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N/A</v>
      </c>
      <c r="AQ20" s="215" t="str" cm="1">
        <f t="array" aca="1" ref="AQ20" ca="1">IF($B20="","",IF(ISBLANK(INDIRECT("R9.Web!D"&amp;SUM(18,38*7,1))),"",INDIRECT("R9.Web!D"&amp;SUM(18,38*7,1))))</f>
        <v>Pasa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Falla</v>
      </c>
      <c r="AW20" s="215" t="str" cm="1">
        <f t="array" aca="1" ref="AW20" ca="1">IF($B20="","",IF(ISBLANK(INDIRECT("R9.Web!D"&amp;SUM(18,38*13,1))),"",INDIRECT("R9.Web!D"&amp;SUM(18,38*13,1))))</f>
        <v>Falla</v>
      </c>
      <c r="AX20" s="215" t="str" cm="1">
        <f t="array" aca="1" ref="AX20" ca="1">IF($B20="","",IF(ISBLANK(INDIRECT("R9.Web!D"&amp;SUM(18,38*14,1))),"",INDIRECT("R9.Web!D"&amp;SUM(18,38*14,1))))</f>
        <v>Pasa</v>
      </c>
      <c r="AY20" s="215" t="str" cm="1">
        <f t="array" aca="1" ref="AY20" ca="1">IF($B20="","",IF(ISBLANK(INDIRECT("R9.Web!D"&amp;SUM(18,38*15,1))),"",INDIRECT("R9.Web!D"&amp;SUM(18,38*15,1))))</f>
        <v>Falla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Pasa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Falla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Falla</v>
      </c>
      <c r="BU20" s="215" t="str" cm="1">
        <f t="array" aca="1" ref="BU20" ca="1">IF($B20="","",IF(ISBLANK(INDIRECT("R9.Web!D"&amp;SUM(18,38*37,1))),"",INDIRECT("R9.Web!D"&amp;SUM(18,38*37,1))))</f>
        <v>Falla</v>
      </c>
      <c r="BV20" s="215" t="str" cm="1">
        <f t="array" aca="1" ref="BV20" ca="1">IF($B20="","",IF(ISBLANK(INDIRECT("R9.Web!D"&amp;SUM(18,38*38,1))),"",INDIRECT("R9.Web!D"&amp;SUM(18,38*38,1))))</f>
        <v>Pasa</v>
      </c>
      <c r="BW20" s="215" t="str" cm="1">
        <f t="array" aca="1" ref="BW20" ca="1">IF($B20="","",IF(ISBLANK(INDIRECT("R9.Web!D"&amp;SUM(18,38*39,1))),"",INDIRECT("R9.Web!D"&amp;SUM(18,38*39,1))))</f>
        <v>Pasa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Falla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Falla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Falla</v>
      </c>
      <c r="CQ20" s="215" t="str" cm="1">
        <f t="array" aca="1" ref="CQ20" ca="1">IF($B20="","",IF(ISBLANK(INDIRECT("R12.ServiciosApoyo!D"&amp;SUM(18,38*3,1))),"",INDIRECT("R12.ServiciosApoyo!D"&amp;SUM(18,38*3,1))))</f>
        <v>Pasa</v>
      </c>
      <c r="CR20" s="215" t="str" cm="1">
        <f t="array" aca="1" ref="CR20" ca="1">IF($B20="","",IF(ISBLANK(INDIRECT("R12.ServiciosApoyo!D"&amp;SUM(18,38*4,1))),"",INDIRECT("R12.ServiciosApoyo!D"&amp;SUM(18,38*4,1))))</f>
        <v>Falla</v>
      </c>
      <c r="CU20" s="31"/>
      <c r="CV20" s="29"/>
      <c r="CW20" s="29"/>
      <c r="CX20" s="29"/>
    </row>
    <row r="21" spans="2:102" ht="20.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Menu 1</v>
      </c>
      <c r="D21" s="98" t="str" cm="1">
        <f t="array" ref="D21">IFERROR(INDEX('03.Muestra'!$F$8:$F$42,SMALL(IF("Página Web"='03.Muestra'!$D$8:$D$42,ROW('03.Muestra'!$F$8:$F$42)-MIN(ROW('03.Muestra'!$D$8:$D$42))+1,""),ROW()-19)),"")</f>
        <v>http://www.madrid.org/presupuestos/index.php/presupuestos-generales/presupuestos-cm/2022</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N/A</v>
      </c>
      <c r="AQ21" s="215" t="str" cm="1">
        <f t="array" aca="1" ref="AQ21" ca="1">IF($B21="","",IF(ISBLANK(INDIRECT("R9.Web!D"&amp;SUM(18,38*7,2))),"",INDIRECT("R9.Web!D"&amp;SUM(18,38*7,2))))</f>
        <v>Pasa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Falla</v>
      </c>
      <c r="AW21" s="215" t="str" cm="1">
        <f t="array" aca="1" ref="AW21" ca="1">IF($B21="","",IF(ISBLANK(INDIRECT("R9.Web!D"&amp;SUM(18,38*13,2))),"",INDIRECT("R9.Web!D"&amp;SUM(18,38*13,2))))</f>
        <v>Falla</v>
      </c>
      <c r="AX21" s="215" t="str" cm="1">
        <f t="array" aca="1" ref="AX21" ca="1">IF($B21="","",IF(ISBLANK(INDIRECT("R9.Web!D"&amp;SUM(18,38*14,2))),"",INDIRECT("R9.Web!D"&amp;SUM(18,38*14,2))))</f>
        <v>Pasa</v>
      </c>
      <c r="AY21" s="215" t="str" cm="1">
        <f t="array" aca="1" ref="AY21" ca="1">IF($B21="","",IF(ISBLANK(INDIRECT("R9.Web!D"&amp;SUM(18,38*15,2))),"",INDIRECT("R9.Web!D"&amp;SUM(18,38*15,2))))</f>
        <v>Falla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Pasa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Falla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Falla</v>
      </c>
      <c r="BU21" s="215" t="str" cm="1">
        <f t="array" aca="1" ref="BU21" ca="1">IF($B21="","",IF(ISBLANK(INDIRECT("R9.Web!D"&amp;SUM(18,38*37,2))),"",INDIRECT("R9.Web!D"&amp;SUM(18,38*37,2))))</f>
        <v>Falla</v>
      </c>
      <c r="BV21" s="215" t="str" cm="1">
        <f t="array" aca="1" ref="BV21" ca="1">IF($B21="","",IF(ISBLANK(INDIRECT("R9.Web!D"&amp;SUM(18,38*38,2))),"",INDIRECT("R9.Web!D"&amp;SUM(18,38*38,2))))</f>
        <v>Pasa</v>
      </c>
      <c r="BW21" s="215" t="str" cm="1">
        <f t="array" aca="1" ref="BW21" ca="1">IF($B21="","",IF(ISBLANK(INDIRECT("R9.Web!D"&amp;SUM(18,38*39,2))),"",INDIRECT("R9.Web!D"&amp;SUM(18,38*39,2))))</f>
        <v>Pasa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Falla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Falla</v>
      </c>
      <c r="CQ21" s="215" t="str" cm="1">
        <f t="array" aca="1" ref="CQ21" ca="1">IF($B21="","",IF(ISBLANK(INDIRECT("R12.ServiciosApoyo!D"&amp;SUM(18,38*3,2))),"",INDIRECT("R12.ServiciosApoyo!D"&amp;SUM(18,38*3,2))))</f>
        <v>Pasa</v>
      </c>
      <c r="CR21" s="215" t="str" cm="1">
        <f t="array" aca="1" ref="CR21" ca="1">IF($B21="","",IF(ISBLANK(INDIRECT("R12.ServiciosApoyo!D"&amp;SUM(18,38*4,2))),"",INDIRECT("R12.ServiciosApoyo!D"&amp;SUM(18,38*4,2))))</f>
        <v>Falla</v>
      </c>
      <c r="CU21" s="100"/>
      <c r="CV21" s="29"/>
      <c r="CW21" s="29"/>
      <c r="CX21" s="29"/>
    </row>
    <row r="22" spans="2:102" ht="20.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Menu 2</v>
      </c>
      <c r="D22" s="98" t="str" cm="1">
        <f t="array" ref="D22">IFERROR(INDEX('03.Muestra'!$F$8:$F$42,SMALL(IF("Página Web"='03.Muestra'!$D$8:$D$42,ROW('03.Muestra'!$F$8:$F$42)-MIN(ROW('03.Muestra'!$D$8:$D$42))+1,""),ROW()-19)),"")</f>
        <v>http://www.madrid.org/presupuestos/index.php/ejecucion-presupuestaria</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N/A</v>
      </c>
      <c r="AQ22" s="215" t="str" cm="1">
        <f t="array" aca="1" ref="AQ22" ca="1">IF($B22="","",IF(ISBLANK(INDIRECT("R9.Web!D"&amp;SUM(18,38*7,3))),"",INDIRECT("R9.Web!D"&amp;SUM(18,38*7,3))))</f>
        <v>Pasa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Falla</v>
      </c>
      <c r="AW22" s="215" t="str" cm="1">
        <f t="array" aca="1" ref="AW22" ca="1">IF($B22="","",IF(ISBLANK(INDIRECT("R9.Web!D"&amp;SUM(18,38*13,3))),"",INDIRECT("R9.Web!D"&amp;SUM(18,38*13,3))))</f>
        <v>Falla</v>
      </c>
      <c r="AX22" s="215" t="str" cm="1">
        <f t="array" aca="1" ref="AX22" ca="1">IF($B22="","",IF(ISBLANK(INDIRECT("R9.Web!D"&amp;SUM(18,38*14,3))),"",INDIRECT("R9.Web!D"&amp;SUM(18,38*14,3))))</f>
        <v>Pasa</v>
      </c>
      <c r="AY22" s="215" t="str" cm="1">
        <f t="array" aca="1" ref="AY22" ca="1">IF($B22="","",IF(ISBLANK(INDIRECT("R9.Web!D"&amp;SUM(18,38*15,3))),"",INDIRECT("R9.Web!D"&amp;SUM(18,38*15,3))))</f>
        <v>Falla</v>
      </c>
      <c r="AZ22" s="215" t="str" cm="1">
        <f t="array" aca="1" ref="AZ22" ca="1">IF($B22="","",IF(ISBLANK(INDIRECT("R9.Web!D"&amp;SUM(18,38*16,3))),"",INDIRECT("R9.Web!D"&amp;SUM(18,38*16,3))))</f>
        <v>Pasa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Pasa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Falla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Falla</v>
      </c>
      <c r="BU22" s="215" t="str" cm="1">
        <f t="array" aca="1" ref="BU22" ca="1">IF($B22="","",IF(ISBLANK(INDIRECT("R9.Web!D"&amp;SUM(18,38*37,3))),"",INDIRECT("R9.Web!D"&amp;SUM(18,38*37,3))))</f>
        <v>Falla</v>
      </c>
      <c r="BV22" s="215" t="str" cm="1">
        <f t="array" aca="1" ref="BV22" ca="1">IF($B22="","",IF(ISBLANK(INDIRECT("R9.Web!D"&amp;SUM(18,38*38,3))),"",INDIRECT("R9.Web!D"&amp;SUM(18,38*38,3))))</f>
        <v>Pasa</v>
      </c>
      <c r="BW22" s="215" t="str" cm="1">
        <f t="array" aca="1" ref="BW22" ca="1">IF($B22="","",IF(ISBLANK(INDIRECT("R9.Web!D"&amp;SUM(18,38*39,3))),"",INDIRECT("R9.Web!D"&amp;SUM(18,38*39,3))))</f>
        <v>Pasa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Falla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Falla</v>
      </c>
      <c r="CQ22" s="215" t="str" cm="1">
        <f t="array" aca="1" ref="CQ22" ca="1">IF($B22="","",IF(ISBLANK(INDIRECT("R12.ServiciosApoyo!D"&amp;SUM(18,38*3,3))),"",INDIRECT("R12.ServiciosApoyo!D"&amp;SUM(18,38*3,3))))</f>
        <v>Pasa</v>
      </c>
      <c r="CR22" s="215" t="str" cm="1">
        <f t="array" aca="1" ref="CR22" ca="1">IF($B22="","",IF(ISBLANK(INDIRECT("R12.ServiciosApoyo!D"&amp;SUM(18,38*4,3))),"",INDIRECT("R12.ServiciosApoyo!D"&amp;SUM(18,38*4,3))))</f>
        <v>Falla</v>
      </c>
      <c r="CU22" s="100"/>
      <c r="CV22" s="29"/>
      <c r="CW22" s="29"/>
      <c r="CX22" s="29"/>
    </row>
    <row r="23" spans="2:102" ht="20.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Menu 3</v>
      </c>
      <c r="D23" s="98" t="str" cm="1">
        <f t="array" ref="D23">IFERROR(INDEX('03.Muestra'!$F$8:$F$42,SMALL(IF("Página Web"='03.Muestra'!$D$8:$D$42,ROW('03.Muestra'!$F$8:$F$42)-MIN(ROW('03.Muestra'!$D$8:$D$42))+1,""),ROW()-19)),"")</f>
        <v>http://www.madrid.org/presupuestos/index.php/transparencia</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Falla</v>
      </c>
      <c r="AP23" s="215" t="str" cm="1">
        <f t="array" aca="1" ref="AP23" ca="1">IF($B23="","",IF(ISBLANK(INDIRECT("R9.Web!D"&amp;SUM(18,38*6,4))),"",INDIRECT("R9.Web!D"&amp;SUM(18,38*6,4))))</f>
        <v>N/A</v>
      </c>
      <c r="AQ23" s="215" t="str" cm="1">
        <f t="array" aca="1" ref="AQ23" ca="1">IF($B23="","",IF(ISBLANK(INDIRECT("R9.Web!D"&amp;SUM(18,38*7,4))),"",INDIRECT("R9.Web!D"&amp;SUM(18,38*7,4))))</f>
        <v>Pasa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Falla</v>
      </c>
      <c r="AW23" s="215" t="str" cm="1">
        <f t="array" aca="1" ref="AW23" ca="1">IF($B23="","",IF(ISBLANK(INDIRECT("R9.Web!D"&amp;SUM(18,38*13,4))),"",INDIRECT("R9.Web!D"&amp;SUM(18,38*13,4))))</f>
        <v>Falla</v>
      </c>
      <c r="AX23" s="215" t="str" cm="1">
        <f t="array" aca="1" ref="AX23" ca="1">IF($B23="","",IF(ISBLANK(INDIRECT("R9.Web!D"&amp;SUM(18,38*14,4))),"",INDIRECT("R9.Web!D"&amp;SUM(18,38*14,4))))</f>
        <v>Pasa</v>
      </c>
      <c r="AY23" s="215" t="str" cm="1">
        <f t="array" aca="1" ref="AY23" ca="1">IF($B23="","",IF(ISBLANK(INDIRECT("R9.Web!D"&amp;SUM(18,38*15,4))),"",INDIRECT("R9.Web!D"&amp;SUM(18,38*15,4))))</f>
        <v>Falla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Pasa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Falla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Falla</v>
      </c>
      <c r="BU23" s="215" t="str" cm="1">
        <f t="array" aca="1" ref="BU23" ca="1">IF($B23="","",IF(ISBLANK(INDIRECT("R9.Web!D"&amp;SUM(18,38*37,4))),"",INDIRECT("R9.Web!D"&amp;SUM(18,38*37,4))))</f>
        <v>Falla</v>
      </c>
      <c r="BV23" s="215" t="str" cm="1">
        <f t="array" aca="1" ref="BV23" ca="1">IF($B23="","",IF(ISBLANK(INDIRECT("R9.Web!D"&amp;SUM(18,38*38,4))),"",INDIRECT("R9.Web!D"&amp;SUM(18,38*38,4))))</f>
        <v>Pasa</v>
      </c>
      <c r="BW23" s="215" t="str" cm="1">
        <f t="array" aca="1" ref="BW23" ca="1">IF($B23="","",IF(ISBLANK(INDIRECT("R9.Web!D"&amp;SUM(18,38*39,4))),"",INDIRECT("R9.Web!D"&amp;SUM(18,38*39,4))))</f>
        <v>Pasa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Falla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Falla</v>
      </c>
      <c r="CQ23" s="215" t="str" cm="1">
        <f t="array" aca="1" ref="CQ23" ca="1">IF($B23="","",IF(ISBLANK(INDIRECT("R12.ServiciosApoyo!D"&amp;SUM(18,38*3,4))),"",INDIRECT("R12.ServiciosApoyo!D"&amp;SUM(18,38*3,4))))</f>
        <v>Pasa</v>
      </c>
      <c r="CR23" s="215" t="str" cm="1">
        <f t="array" aca="1" ref="CR23" ca="1">IF($B23="","",IF(ISBLANK(INDIRECT("R12.ServiciosApoyo!D"&amp;SUM(18,38*4,4))),"",INDIRECT("R12.ServiciosApoyo!D"&amp;SUM(18,38*4,4))))</f>
        <v>Falla</v>
      </c>
      <c r="CU23" s="100"/>
      <c r="CV23" s="29"/>
      <c r="CW23" s="29"/>
      <c r="CX23" s="29"/>
    </row>
    <row r="24" spans="2:102" ht="20.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Accesibilidad</v>
      </c>
      <c r="D24" s="98" t="str" cm="1">
        <f t="array" ref="D24">IFERROR(INDEX('03.Muestra'!$F$8:$F$42,SMALL(IF("Página Web"='03.Muestra'!$D$8:$D$42,ROW('03.Muestra'!$F$8:$F$42)-MIN(ROW('03.Muestra'!$D$8:$D$42))+1,""),ROW()-19)),"")</f>
        <v>http://www.madrid.org/presupuestos/index.php/accesibilidad-web</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Falla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Falla</v>
      </c>
      <c r="AP24" s="215" t="str" cm="1">
        <f t="array" aca="1" ref="AP24" ca="1">IF($B24="","",IF(ISBLANK(INDIRECT("R9.Web!D"&amp;SUM(18,38*6,5))),"",INDIRECT("R9.Web!D"&amp;SUM(18,38*6,5))))</f>
        <v>N/A</v>
      </c>
      <c r="AQ24" s="215" t="str" cm="1">
        <f t="array" aca="1" ref="AQ24" ca="1">IF($B24="","",IF(ISBLANK(INDIRECT("R9.Web!D"&amp;SUM(18,38*7,5))),"",INDIRECT("R9.Web!D"&amp;SUM(18,38*7,5))))</f>
        <v>Pasa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Falla</v>
      </c>
      <c r="AW24" s="215" t="str" cm="1">
        <f t="array" aca="1" ref="AW24" ca="1">IF($B24="","",IF(ISBLANK(INDIRECT("R9.Web!D"&amp;SUM(18,38*13,5))),"",INDIRECT("R9.Web!D"&amp;SUM(18,38*13,5))))</f>
        <v>Falla</v>
      </c>
      <c r="AX24" s="215" t="str" cm="1">
        <f t="array" aca="1" ref="AX24" ca="1">IF($B24="","",IF(ISBLANK(INDIRECT("R9.Web!D"&amp;SUM(18,38*14,5))),"",INDIRECT("R9.Web!D"&amp;SUM(18,38*14,5))))</f>
        <v>Pasa</v>
      </c>
      <c r="AY24" s="215" t="str" cm="1">
        <f t="array" aca="1" ref="AY24" ca="1">IF($B24="","",IF(ISBLANK(INDIRECT("R9.Web!D"&amp;SUM(18,38*15,5))),"",INDIRECT("R9.Web!D"&amp;SUM(18,38*15,5))))</f>
        <v>Falla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Pasa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Falla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Falla</v>
      </c>
      <c r="BU24" s="215" t="str" cm="1">
        <f t="array" aca="1" ref="BU24" ca="1">IF($B24="","",IF(ISBLANK(INDIRECT("R9.Web!D"&amp;SUM(18,38*37,5))),"",INDIRECT("R9.Web!D"&amp;SUM(18,38*37,5))))</f>
        <v>Falla</v>
      </c>
      <c r="BV24" s="215" t="str" cm="1">
        <f t="array" aca="1" ref="BV24" ca="1">IF($B24="","",IF(ISBLANK(INDIRECT("R9.Web!D"&amp;SUM(18,38*38,5))),"",INDIRECT("R9.Web!D"&amp;SUM(18,38*38,5))))</f>
        <v>Pasa</v>
      </c>
      <c r="BW24" s="215" t="str" cm="1">
        <f t="array" aca="1" ref="BW24" ca="1">IF($B24="","",IF(ISBLANK(INDIRECT("R9.Web!D"&amp;SUM(18,38*39,5))),"",INDIRECT("R9.Web!D"&amp;SUM(18,38*39,5))))</f>
        <v>Pasa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Falla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Falla</v>
      </c>
      <c r="CQ24" s="215" t="str" cm="1">
        <f t="array" aca="1" ref="CQ24" ca="1">IF($B24="","",IF(ISBLANK(INDIRECT("R12.ServiciosApoyo!D"&amp;SUM(18,38*3,5))),"",INDIRECT("R12.ServiciosApoyo!D"&amp;SUM(18,38*3,5))))</f>
        <v>Pasa</v>
      </c>
      <c r="CR24" s="215" t="str" cm="1">
        <f t="array" aca="1" ref="CR24" ca="1">IF($B24="","",IF(ISBLANK(INDIRECT("R12.ServiciosApoyo!D"&amp;SUM(18,38*4,5))),"",INDIRECT("R12.ServiciosApoyo!D"&amp;SUM(18,38*4,5))))</f>
        <v>Falla</v>
      </c>
      <c r="CU24" s="100"/>
      <c r="CV24" s="29"/>
      <c r="CW24" s="29"/>
      <c r="CX24" s="29"/>
    </row>
    <row r="25" spans="2:102" ht="20.5">
      <c r="B25" s="181" t="str" cm="1">
        <f t="array" ref="B25">IFERROR(INDEX('03.Muestra'!$B$8:$B$42,SMALL(IF("Página Web"='03.Muestra'!$D$8:$D$42,ROW('03.Muestra'!$B$8:$B$42)-MIN(ROW('03.Muestra'!$D$8:$D$42))+1,""),ROW()-19)),"")</f>
        <v/>
      </c>
      <c r="C25" s="97" t="str" cm="1">
        <f t="array" ref="C25">IFERROR(INDEX('03.Muestra'!$C$8:$C$42,SMALL(IF("Página Web"='03.Muestra'!$D$8:$D$42,ROW('03.Muestra'!$C$8:$C$42)-MIN(ROW('03.Muestra'!$D$8:$D$42))+1,""),ROW()-19)),"")</f>
        <v/>
      </c>
      <c r="D25" s="98" t="str" cm="1">
        <f t="array" ref="D25">IFERROR(INDEX('03.Muestra'!$F$8:$F$42,SMALL(IF("Página Web"='03.Muestra'!$D$8:$D$42,ROW('03.Muestra'!$F$8:$F$42)-MIN(ROW('03.Muestra'!$D$8:$D$42))+1,""),ROW()-19)),"")</f>
        <v/>
      </c>
      <c r="E25" s="215" t="str" cm="1">
        <f t="array" aca="1" ref="E25" ca="1">IF($B25="","",IF(ISBLANK(INDIRECT("R5.Genéricos!D"&amp;SUM(18,38*0,6))),"",INDIRECT("R5.Genéricos!D"&amp;SUM(18,38*0,6))))</f>
        <v/>
      </c>
      <c r="F25" s="215" t="str" cm="1">
        <f t="array" aca="1" ref="F25" ca="1">IF($B25="","",IF(ISBLANK(INDIRECT("R5.Genéricos!D"&amp;SUM(18,38*1,6))),"",INDIRECT("R5.Genéricos!D"&amp;SUM(18,38*1,6))))</f>
        <v/>
      </c>
      <c r="G25" s="215" t="str" cm="1">
        <f t="array" aca="1" ref="G25" ca="1">IF($B25="","",IF(ISBLANK(INDIRECT("R5.Genéricos!D"&amp;SUM(18,38*2,6))),"",INDIRECT("R5.Genéricos!D"&amp;SUM(18,38*2,6))))</f>
        <v/>
      </c>
      <c r="H25" s="215" t="str" cm="1">
        <f t="array" aca="1" ref="H25" ca="1">IF($B25="","",IF(ISBLANK(INDIRECT("R6.Voz!D"&amp;SUM(18,38*0,6))),"",INDIRECT("R6.Voz!D"&amp;SUM(18,38*0,6))))</f>
        <v/>
      </c>
      <c r="I25" s="215" t="str" cm="1">
        <f t="array" aca="1" ref="I25" ca="1">IF($B25="","",IF(ISBLANK(INDIRECT("R6.Voz!D"&amp;SUM(18,38*1,6))),"",INDIRECT("R6.Voz!D"&amp;SUM(18,38*1,6))))</f>
        <v/>
      </c>
      <c r="J25" s="215" t="str" cm="1">
        <f t="array" aca="1" ref="J25" ca="1">IF($B25="","",IF(ISBLANK(INDIRECT("R6.Voz!D"&amp;SUM(18,38*2,6))),"",INDIRECT("R6.Voz!D"&amp;SUM(18,38*2,6))))</f>
        <v/>
      </c>
      <c r="K25" s="215" t="str" cm="1">
        <f t="array" aca="1" ref="K25" ca="1">IF($B25="","",IF(ISBLANK(INDIRECT("R6.Voz!D"&amp;SUM(18,38*3,6))),"",INDIRECT("R6.Voz!D"&amp;SUM(18,38*3,6))))</f>
        <v/>
      </c>
      <c r="L25" s="215" t="str" cm="1">
        <f t="array" aca="1" ref="L25" ca="1">IF($B25="","",IF(ISBLANK(INDIRECT("R6.Voz!D"&amp;SUM(18,38*4,6))),"",INDIRECT("R6.Voz!D"&amp;SUM(18,38*4,6))))</f>
        <v/>
      </c>
      <c r="M25" s="215" t="str" cm="1">
        <f t="array" aca="1" ref="M25" ca="1">IF($B25="","",IF(ISBLANK(INDIRECT("R6.Voz!D"&amp;SUM(18,38*5,6))),"",INDIRECT("R6.Voz!D"&amp;SUM(18,38*5,6))))</f>
        <v/>
      </c>
      <c r="N25" s="215" t="str" cm="1">
        <f t="array" aca="1" ref="N25" ca="1">IF($B25="","",IF(ISBLANK(INDIRECT("R6.Voz!D"&amp;SUM(18,38*6,6))),"",INDIRECT("R6.Voz!D"&amp;SUM(18,38*6,6))))</f>
        <v/>
      </c>
      <c r="O25" s="215" t="str" cm="1">
        <f t="array" aca="1" ref="O25" ca="1">IF($B25="","",IF(ISBLANK(INDIRECT("R6.Voz!D"&amp;SUM(18,38*7,6))),"",INDIRECT("R6.Voz!D"&amp;SUM(18,38*7,6))))</f>
        <v/>
      </c>
      <c r="P25" s="215" t="str" cm="1">
        <f t="array" aca="1" ref="P25" ca="1">IF($B25="","",IF(ISBLANK(INDIRECT("R6.Voz!D"&amp;SUM(18,38*8,6))),"",INDIRECT("R6.Voz!D"&amp;SUM(18,38*8,6))))</f>
        <v/>
      </c>
      <c r="Q25" s="215" t="str" cm="1">
        <f t="array" aca="1" ref="Q25" ca="1">IF($B25="","",IF(ISBLANK(INDIRECT("R6.Voz!D"&amp;SUM(18,38*9,6))),"",INDIRECT("R6.Voz!D"&amp;SUM(18,38*9,6))))</f>
        <v/>
      </c>
      <c r="R25" s="215" t="str" cm="1">
        <f t="array" aca="1" ref="R25" ca="1">IF($B25="","",IF(ISBLANK(INDIRECT("R6.Voz!D"&amp;SUM(18,38*10,6))),"",INDIRECT("R6.Voz!D"&amp;SUM(18,38*10,6))))</f>
        <v/>
      </c>
      <c r="S25" s="215" t="str" cm="1">
        <f t="array" aca="1" ref="S25" ca="1">IF($B25="","",IF(ISBLANK(INDIRECT("R6.Voz!D"&amp;SUM(18,38*11,6))),"",INDIRECT("R6.Voz!D"&amp;SUM(18,38*11,6))))</f>
        <v/>
      </c>
      <c r="T25" s="215" t="str" cm="1">
        <f t="array" aca="1" ref="T25" ca="1">IF($B25="","",IF(ISBLANK(INDIRECT("R6.Voz!D"&amp;SUM(18,38*12,6))),"",INDIRECT("R6.Voz!D"&amp;SUM(18,38*12,6))))</f>
        <v/>
      </c>
      <c r="U25" s="215" t="str" cm="1">
        <f t="array" aca="1" ref="U25" ca="1">IF($B25="","",IF(ISBLANK(INDIRECT("R6.Voz!D"&amp;SUM(18,38*13,6))),"",INDIRECT("R6.Voz!D"&amp;SUM(18,38*13,6))))</f>
        <v/>
      </c>
      <c r="V25" s="215" t="str" cm="1">
        <f t="array" aca="1" ref="V25" ca="1">IF($B25="","",IF(ISBLANK(INDIRECT("R6.Voz!D"&amp;SUM(18,38*14,6))),"",INDIRECT("R6.Voz!D"&amp;SUM(18,38*14,6))))</f>
        <v/>
      </c>
      <c r="W25" s="215" t="str" cm="1">
        <f t="array" aca="1" ref="W25" ca="1">IF($B25="","",IF(ISBLANK(INDIRECT("R6.Voz!D"&amp;SUM(18,38*15,6))),"",INDIRECT("R6.Voz!D"&amp;SUM(18,38*15,6))))</f>
        <v/>
      </c>
      <c r="X25" s="215" t="str" cm="1">
        <f t="array" aca="1" ref="X25" ca="1">IF($B25="","",IF(ISBLANK(INDIRECT("R6.Voz!D"&amp;SUM(18,38*16,6))),"",INDIRECT("R6.Voz!D"&amp;SUM(18,38*16,6))))</f>
        <v/>
      </c>
      <c r="Y25" s="215" t="str" cm="1">
        <f t="array" aca="1" ref="Y25" ca="1">IF($B25="","",IF(ISBLANK(INDIRECT("R6.Voz!D"&amp;SUM(18,38*17,6))),"",INDIRECT("R6.Voz!D"&amp;SUM(18,38*17,6))))</f>
        <v/>
      </c>
      <c r="Z25" s="215" t="str" cm="1">
        <f t="array" aca="1" ref="Z25" ca="1">IF($B25="","",IF(ISBLANK(INDIRECT("R6.Voz!D"&amp;SUM(18,38*18,6))),"",INDIRECT("R6.Voz!D"&amp;SUM(18,38*18,6))))</f>
        <v/>
      </c>
      <c r="AA25" s="215" t="str" cm="1">
        <f t="array" aca="1" ref="AA25" ca="1">IF($B25="","",IF(ISBLANK(INDIRECT("R7.Video!D"&amp;SUM(18,38*0,6))),"",INDIRECT("R7.Video!D"&amp;SUM(18,38*0,6))))</f>
        <v/>
      </c>
      <c r="AB25" s="215" t="str" cm="1">
        <f t="array" aca="1" ref="AB25" ca="1">IF($B25="","",IF(ISBLANK(INDIRECT("R7.Video!D"&amp;SUM(18,38*1,6))),"",INDIRECT("R7.Video!D"&amp;SUM(18,38*1,6))))</f>
        <v/>
      </c>
      <c r="AC25" s="215" t="str" cm="1">
        <f t="array" aca="1" ref="AC25" ca="1">IF($B25="","",IF(ISBLANK(INDIRECT("R7.Video!D"&amp;SUM(18,38*2,6))),"",INDIRECT("R7.Video!D"&amp;SUM(18,38*2,6))))</f>
        <v/>
      </c>
      <c r="AD25" s="215" t="str" cm="1">
        <f t="array" aca="1" ref="AD25" ca="1">IF($B25="","",IF(ISBLANK(INDIRECT("R7.Video!D"&amp;SUM(18,38*3,6))),"",INDIRECT("R7.Video!D"&amp;SUM(18,38*3,6))))</f>
        <v/>
      </c>
      <c r="AE25" s="215" t="str" cm="1">
        <f t="array" aca="1" ref="AE25" ca="1">IF($B25="","",IF(ISBLANK(INDIRECT("R7.Video!D"&amp;SUM(18,38*4,6))),"",INDIRECT("R7.Video!D"&amp;SUM(18,38*4,6))))</f>
        <v/>
      </c>
      <c r="AF25" s="215" t="str" cm="1">
        <f t="array" aca="1" ref="AF25" ca="1">IF($B25="","",IF(ISBLANK(INDIRECT("R7.Video!D"&amp;SUM(18,38*5,6))),"",INDIRECT("R7.Video!D"&amp;SUM(18,38*5,6))))</f>
        <v/>
      </c>
      <c r="AG25" s="215" t="str" cm="1">
        <f t="array" aca="1" ref="AG25" ca="1">IF($B25="","",IF(ISBLANK(INDIRECT("R7.Video!D"&amp;SUM(18,38*6,6))),"",INDIRECT("R7.Video!D"&amp;SUM(18,38*6,6))))</f>
        <v/>
      </c>
      <c r="AH25" s="215" t="str" cm="1">
        <f t="array" aca="1" ref="AH25" ca="1">IF($B25="","",IF(ISBLANK(INDIRECT("R7.Video!D"&amp;SUM(18,38*7,6))),"",INDIRECT("R7.Video!D"&amp;SUM(18,38*7,6))))</f>
        <v/>
      </c>
      <c r="AI25" s="215" t="str" cm="1">
        <f t="array" aca="1" ref="AI25" ca="1">IF($B25="","",IF(ISBLANK(INDIRECT("R7.Video!D"&amp;SUM(18,38*8,6))),"",INDIRECT("R7.Video!D"&amp;SUM(18,38*8,6))))</f>
        <v/>
      </c>
      <c r="AJ25" s="215" t="str" cm="1">
        <f t="array" aca="1" ref="AJ25" ca="1">IF($B25="","",IF(ISBLANK(INDIRECT("R9.Web!D"&amp;SUM(18,38*0,6))),"",INDIRECT("R9.Web!D"&amp;SUM(18,38*0,6))))</f>
        <v/>
      </c>
      <c r="AK25" s="215" t="str" cm="1">
        <f t="array" aca="1" ref="AK25" ca="1">IF($B25="","",IF(ISBLANK(INDIRECT("R9.Web!D"&amp;SUM(18,38*1,6))),"",INDIRECT("R9.Web!D"&amp;SUM(18,38*1,6))))</f>
        <v/>
      </c>
      <c r="AL25" s="215" t="str" cm="1">
        <f t="array" aca="1" ref="AL25" ca="1">IF($B25="","",IF(ISBLANK(INDIRECT("R9.Web!D"&amp;SUM(18,38*2,6))),"",INDIRECT("R9.Web!D"&amp;SUM(18,38*2,6))))</f>
        <v/>
      </c>
      <c r="AM25" s="215" t="str" cm="1">
        <f t="array" aca="1" ref="AM25" ca="1">IF($B25="","",IF(ISBLANK(INDIRECT("R9.Web!D"&amp;SUM(18,38*3,6))),"",INDIRECT("R9.Web!D"&amp;SUM(18,38*3,6))))</f>
        <v/>
      </c>
      <c r="AN25" s="215" t="str" cm="1">
        <f t="array" aca="1" ref="AN25" ca="1">IF($B25="","",IF(ISBLANK(INDIRECT("R9.Web!D"&amp;SUM(18,38*4,6))),"",INDIRECT("R9.Web!D"&amp;SUM(18,38*4,6))))</f>
        <v/>
      </c>
      <c r="AO25" s="215" t="str" cm="1">
        <f t="array" aca="1" ref="AO25" ca="1">IF($B25="","",IF(ISBLANK(INDIRECT("R9.Web!D"&amp;SUM(18,38*5,6))),"",INDIRECT("R9.Web!D"&amp;SUM(18,38*5,6))))</f>
        <v/>
      </c>
      <c r="AP25" s="215" t="str" cm="1">
        <f t="array" aca="1" ref="AP25" ca="1">IF($B25="","",IF(ISBLANK(INDIRECT("R9.Web!D"&amp;SUM(18,38*6,6))),"",INDIRECT("R9.Web!D"&amp;SUM(18,38*6,6))))</f>
        <v/>
      </c>
      <c r="AQ25" s="215" t="str" cm="1">
        <f t="array" aca="1" ref="AQ25" ca="1">IF($B25="","",IF(ISBLANK(INDIRECT("R9.Web!D"&amp;SUM(18,38*7,6))),"",INDIRECT("R9.Web!D"&amp;SUM(18,38*7,6))))</f>
        <v/>
      </c>
      <c r="AR25" s="215" t="str" cm="1">
        <f t="array" aca="1" ref="AR25" ca="1">IF($B25="","",IF(ISBLANK(INDIRECT("R9.Web!D"&amp;SUM(18,38*8,6))),"",INDIRECT("R9.Web!D"&amp;SUM(18,38*8,6))))</f>
        <v/>
      </c>
      <c r="AS25" s="215" t="str" cm="1">
        <f t="array" aca="1" ref="AS25" ca="1">IF($B25="","",IF(ISBLANK(INDIRECT("R9.Web!D"&amp;SUM(18,38*9,6))),"",INDIRECT("R9.Web!D"&amp;SUM(18,38*9,6))))</f>
        <v/>
      </c>
      <c r="AT25" s="215" t="str" cm="1">
        <f t="array" aca="1" ref="AT25" ca="1">IF($B25="","",IF(ISBLANK(INDIRECT("R9.Web!D"&amp;SUM(18,38*10,6))),"",INDIRECT("R9.Web!D"&amp;SUM(18,38*10,6))))</f>
        <v/>
      </c>
      <c r="AU25" s="215" t="str" cm="1">
        <f t="array" aca="1" ref="AU25" ca="1">IF($B25="","",IF(ISBLANK(INDIRECT("R9.Web!D"&amp;SUM(18,38*11,6))),"",INDIRECT("R9.Web!D"&amp;SUM(18,38*11,6))))</f>
        <v/>
      </c>
      <c r="AV25" s="215" t="str" cm="1">
        <f t="array" aca="1" ref="AV25" ca="1">IF($B25="","",IF(ISBLANK(INDIRECT("R9.Web!D"&amp;SUM(18,38*12,6))),"",INDIRECT("R9.Web!D"&amp;SUM(18,38*12,6))))</f>
        <v/>
      </c>
      <c r="AW25" s="215" t="str" cm="1">
        <f t="array" aca="1" ref="AW25" ca="1">IF($B25="","",IF(ISBLANK(INDIRECT("R9.Web!D"&amp;SUM(18,38*13,6))),"",INDIRECT("R9.Web!D"&amp;SUM(18,38*13,6))))</f>
        <v/>
      </c>
      <c r="AX25" s="215" t="str" cm="1">
        <f t="array" aca="1" ref="AX25" ca="1">IF($B25="","",IF(ISBLANK(INDIRECT("R9.Web!D"&amp;SUM(18,38*14,6))),"",INDIRECT("R9.Web!D"&amp;SUM(18,38*14,6))))</f>
        <v/>
      </c>
      <c r="AY25" s="215" t="str" cm="1">
        <f t="array" aca="1" ref="AY25" ca="1">IF($B25="","",IF(ISBLANK(INDIRECT("R9.Web!D"&amp;SUM(18,38*15,6))),"",INDIRECT("R9.Web!D"&amp;SUM(18,38*15,6))))</f>
        <v/>
      </c>
      <c r="AZ25" s="215" t="str" cm="1">
        <f t="array" aca="1" ref="AZ25" ca="1">IF($B25="","",IF(ISBLANK(INDIRECT("R9.Web!D"&amp;SUM(18,38*16,6))),"",INDIRECT("R9.Web!D"&amp;SUM(18,38*16,6))))</f>
        <v/>
      </c>
      <c r="BA25" s="215" t="str" cm="1">
        <f t="array" aca="1" ref="BA25" ca="1">IF($B25="","",IF(ISBLANK(INDIRECT("R9.Web!D"&amp;SUM(18,38*17,6))),"",INDIRECT("R9.Web!D"&amp;SUM(18,38*17,6))))</f>
        <v/>
      </c>
      <c r="BB25" s="215" t="str" cm="1">
        <f t="array" aca="1" ref="BB25" ca="1">IF($B25="","",IF(ISBLANK(INDIRECT("R9.Web!D"&amp;SUM(18,38*18,6))),"",INDIRECT("R9.Web!D"&amp;SUM(18,38*18,6))))</f>
        <v/>
      </c>
      <c r="BC25" s="215" t="str" cm="1">
        <f t="array" aca="1" ref="BC25" ca="1">IF($B25="","",IF(ISBLANK(INDIRECT("R9.Web!D"&amp;SUM(18,38*19,6))),"",INDIRECT("R9.Web!D"&amp;SUM(18,38*19,6))))</f>
        <v/>
      </c>
      <c r="BD25" s="215" t="str" cm="1">
        <f t="array" aca="1" ref="BD25" ca="1">IF($B25="","",IF(ISBLANK(INDIRECT("R9.Web!D"&amp;SUM(18,38*20,6))),"",INDIRECT("R9.Web!D"&amp;SUM(18,38*20,6))))</f>
        <v/>
      </c>
      <c r="BE25" s="215" t="str" cm="1">
        <f t="array" aca="1" ref="BE25" ca="1">IF($B25="","",IF(ISBLANK(INDIRECT("R9.Web!D"&amp;SUM(18,38*21,6))),"",INDIRECT("R9.Web!D"&amp;SUM(18,38*21,6))))</f>
        <v/>
      </c>
      <c r="BF25" s="215" t="str" cm="1">
        <f t="array" aca="1" ref="BF25" ca="1">IF($B25="","",IF(ISBLANK(INDIRECT("R9.Web!D"&amp;SUM(18,38*22,6))),"",INDIRECT("R9.Web!D"&amp;SUM(18,38*22,6))))</f>
        <v/>
      </c>
      <c r="BG25" s="215" t="str" cm="1">
        <f t="array" aca="1" ref="BG25" ca="1">IF($B25="","",IF(ISBLANK(INDIRECT("R9.Web!D"&amp;SUM(18,38*23,6))),"",INDIRECT("R9.Web!D"&amp;SUM(18,38*23,6))))</f>
        <v/>
      </c>
      <c r="BH25" s="215" t="str" cm="1">
        <f t="array" aca="1" ref="BH25" ca="1">IF($B25="","",IF(ISBLANK(INDIRECT("R9.Web!D"&amp;SUM(18,38*24,6))),"",INDIRECT("R9.Web!D"&amp;SUM(18,38*24,6))))</f>
        <v/>
      </c>
      <c r="BI25" s="215" t="str" cm="1">
        <f t="array" aca="1" ref="BI25" ca="1">IF($B25="","",IF(ISBLANK(INDIRECT("R9.Web!D"&amp;SUM(18,38*25,6))),"",INDIRECT("R9.Web!D"&amp;SUM(18,38*25,6))))</f>
        <v/>
      </c>
      <c r="BJ25" s="215" t="str" cm="1">
        <f t="array" aca="1" ref="BJ25" ca="1">IF($B25="","",IF(ISBLANK(INDIRECT("R9.Web!D"&amp;SUM(18,38*26,6))),"",INDIRECT("R9.Web!D"&amp;SUM(18,38*26,6))))</f>
        <v/>
      </c>
      <c r="BK25" s="215" t="str" cm="1">
        <f t="array" aca="1" ref="BK25" ca="1">IF($B25="","",IF(ISBLANK(INDIRECT("R9.Web!D"&amp;SUM(18,38*27,6))),"",INDIRECT("R9.Web!D"&amp;SUM(18,38*27,6))))</f>
        <v/>
      </c>
      <c r="BL25" s="215" t="str" cm="1">
        <f t="array" aca="1" ref="BL25" ca="1">IF($B25="","",IF(ISBLANK(INDIRECT("R9.Web!D"&amp;SUM(18,38*28,6))),"",INDIRECT("R9.Web!D"&amp;SUM(18,38*28,6))))</f>
        <v/>
      </c>
      <c r="BM25" s="215" t="str" cm="1">
        <f t="array" aca="1" ref="BM25" ca="1">IF($B25="","",IF(ISBLANK(INDIRECT("R9.Web!D"&amp;SUM(18,38*29,6))),"",INDIRECT("R9.Web!D"&amp;SUM(18,38*29,6))))</f>
        <v/>
      </c>
      <c r="BN25" s="215" t="str" cm="1">
        <f t="array" aca="1" ref="BN25" ca="1">IF($B25="","",IF(ISBLANK(INDIRECT("R9.Web!D"&amp;SUM(18,38*30,6))),"",INDIRECT("R9.Web!D"&amp;SUM(18,38*30,6))))</f>
        <v/>
      </c>
      <c r="BO25" s="215" t="str" cm="1">
        <f t="array" aca="1" ref="BO25" ca="1">IF($B25="","",IF(ISBLANK(INDIRECT("R9.Web!D"&amp;SUM(18,38*31,6))),"",INDIRECT("R9.Web!D"&amp;SUM(18,38*31,6))))</f>
        <v/>
      </c>
      <c r="BP25" s="215" t="str" cm="1">
        <f t="array" aca="1" ref="BP25" ca="1">IF($B25="","",IF(ISBLANK(INDIRECT("R9.Web!D"&amp;SUM(18,38*32,6))),"",INDIRECT("R9.Web!D"&amp;SUM(18,38*32,6))))</f>
        <v/>
      </c>
      <c r="BQ25" s="215" t="str" cm="1">
        <f t="array" aca="1" ref="BQ25" ca="1">IF($B25="","",IF(ISBLANK(INDIRECT("R9.Web!D"&amp;SUM(18,38*33,6))),"",INDIRECT("R9.Web!D"&amp;SUM(18,38*33,6))))</f>
        <v/>
      </c>
      <c r="BR25" s="215" t="str" cm="1">
        <f t="array" aca="1" ref="BR25" ca="1">IF($B25="","",IF(ISBLANK(INDIRECT("R9.Web!D"&amp;SUM(18,38*34,6))),"",INDIRECT("R9.Web!D"&amp;SUM(18,38*34,6))))</f>
        <v/>
      </c>
      <c r="BS25" s="215" t="str" cm="1">
        <f t="array" aca="1" ref="BS25" ca="1">IF($B25="","",IF(ISBLANK(INDIRECT("R9.Web!D"&amp;SUM(18,38*35,6))),"",INDIRECT("R9.Web!D"&amp;SUM(18,38*35,6))))</f>
        <v/>
      </c>
      <c r="BT25" s="215" t="str" cm="1">
        <f t="array" aca="1" ref="BT25" ca="1">IF($B25="","",IF(ISBLANK(INDIRECT("R9.Web!D"&amp;SUM(18,38*36,6))),"",INDIRECT("R9.Web!D"&amp;SUM(18,38*36,6))))</f>
        <v/>
      </c>
      <c r="BU25" s="215" t="str" cm="1">
        <f t="array" aca="1" ref="BU25" ca="1">IF($B25="","",IF(ISBLANK(INDIRECT("R9.Web!D"&amp;SUM(18,38*37,6))),"",INDIRECT("R9.Web!D"&amp;SUM(18,38*37,6))))</f>
        <v/>
      </c>
      <c r="BV25" s="215" t="str" cm="1">
        <f t="array" aca="1" ref="BV25" ca="1">IF($B25="","",IF(ISBLANK(INDIRECT("R9.Web!D"&amp;SUM(18,38*38,6))),"",INDIRECT("R9.Web!D"&amp;SUM(18,38*38,6))))</f>
        <v/>
      </c>
      <c r="BW25" s="215" t="str" cm="1">
        <f t="array" aca="1" ref="BW25" ca="1">IF($B25="","",IF(ISBLANK(INDIRECT("R9.Web!D"&amp;SUM(18,38*39,6))),"",INDIRECT("R9.Web!D"&amp;SUM(18,38*39,6))))</f>
        <v/>
      </c>
      <c r="BX25" s="215" t="str" cm="1">
        <f t="array" aca="1" ref="BX25" ca="1">IF($B25="","",IF(ISBLANK(INDIRECT("R9.Web!D"&amp;SUM(18,38*40,6))),"",INDIRECT("R9.Web!D"&amp;SUM(18,38*40,6))))</f>
        <v/>
      </c>
      <c r="BY25" s="215" t="str" cm="1">
        <f t="array" aca="1" ref="BY25" ca="1">IF($B25="","",IF(ISBLANK(INDIRECT("R9.Web!D"&amp;SUM(18,38*41,6))),"",INDIRECT("R9.Web!D"&amp;SUM(18,38*41,6))))</f>
        <v/>
      </c>
      <c r="BZ25" s="215" t="str" cm="1">
        <f t="array" aca="1" ref="BZ25" ca="1">IF($B25="","",IF(ISBLANK(INDIRECT("R9.Web!D"&amp;SUM(18,38*42,6))),"",INDIRECT("R9.Web!D"&amp;SUM(18,38*42,6))))</f>
        <v/>
      </c>
      <c r="CA25" s="215" t="str" cm="1">
        <f t="array" aca="1" ref="CA25" ca="1">IF($B25="","",IF(ISBLANK(INDIRECT("R9.Web!D"&amp;SUM(18,38*43,6))),"",INDIRECT("R9.Web!D"&amp;SUM(18,38*43,6))))</f>
        <v/>
      </c>
      <c r="CB25" s="215" t="str" cm="1">
        <f t="array" aca="1" ref="CB25" ca="1">IF($B25="","",IF(ISBLANK(INDIRECT("R9.Web!D"&amp;SUM(18,38*44,6))),"",INDIRECT("R9.Web!D"&amp;SUM(18,38*44,6))))</f>
        <v/>
      </c>
      <c r="CC25" s="215" t="str" cm="1">
        <f t="array" aca="1" ref="CC25" ca="1">IF($B25="","",IF(ISBLANK(INDIRECT("R9.Web!D"&amp;SUM(18,38*45,6))),"",INDIRECT("R9.Web!D"&amp;SUM(18,38*45,6))))</f>
        <v/>
      </c>
      <c r="CD25" s="215" t="str" cm="1">
        <f t="array" aca="1" ref="CD25" ca="1">IF($B25="","",IF(ISBLANK(INDIRECT("R9.Web!D"&amp;SUM(18,38*46,6))),"",INDIRECT("R9.Web!D"&amp;SUM(18,38*46,6))))</f>
        <v/>
      </c>
      <c r="CE25" s="215" t="str" cm="1">
        <f t="array" aca="1" ref="CE25" ca="1">IF($B25="","",IF(ISBLANK(INDIRECT("R9.Web!D"&amp;SUM(18,38*47,6))),"",INDIRECT("R9.Web!D"&amp;SUM(18,38*47,6))))</f>
        <v/>
      </c>
      <c r="CF25" s="215" t="str" cm="1">
        <f t="array" aca="1" ref="CF25" ca="1">IF($B25="","",IF(ISBLANK(INDIRECT("R9.Web!D"&amp;SUM(18,38*48,6))),"",INDIRECT("R9.Web!D"&amp;SUM(18,38*48,6))))</f>
        <v/>
      </c>
      <c r="CG25" s="215" t="str" cm="1">
        <f t="array" aca="1" ref="CG25" ca="1">IF($B25="","",IF(ISBLANK(INDIRECT("R9.Web!D"&amp;SUM(18,38*49,6))),"",INDIRECT("R9.Web!D"&amp;SUM(18,38*49,6))))</f>
        <v/>
      </c>
      <c r="CH25" s="215" t="str" cm="1">
        <f t="array" aca="1" ref="CH25" ca="1">IF($B25="","",IF(ISBLANK(INDIRECT("R11.Software!D"&amp;SUM(18,38*0,6))),"",INDIRECT("R11.Software!D"&amp;SUM(18,38*0,6))))</f>
        <v/>
      </c>
      <c r="CI25" s="215" t="str" cm="1">
        <f t="array" aca="1" ref="CI25" ca="1">IF($B25="","",IF(ISBLANK(INDIRECT("R11.Software!D"&amp;SUM(18,38*1,6))),"",INDIRECT("R11.Software!D"&amp;SUM(18,38*1,6))))</f>
        <v/>
      </c>
      <c r="CJ25" s="215" t="str" cm="1">
        <f t="array" aca="1" ref="CJ25" ca="1">IF($B25="","",IF(ISBLANK(INDIRECT("R11.Software!D"&amp;SUM(18,38*2,6))),"",INDIRECT("R11.Software!D"&amp;SUM(18,38*2,6))))</f>
        <v/>
      </c>
      <c r="CK25" s="215" t="str" cm="1">
        <f t="array" aca="1" ref="CK25" ca="1">IF($B25="","",IF(ISBLANK(INDIRECT("R11.Software!D"&amp;SUM(18,38*3,6))),"",INDIRECT("R11.Software!D"&amp;SUM(18,38*3,6))))</f>
        <v/>
      </c>
      <c r="CL25" s="215" t="str" cm="1">
        <f t="array" aca="1" ref="CL25" ca="1">IF($B25="","",IF(ISBLANK(INDIRECT("R11.Software!D"&amp;SUM(18,38*4,6))),"",INDIRECT("R11.Software!D"&amp;SUM(18,38*4,6))))</f>
        <v/>
      </c>
      <c r="CM25" s="215" t="str" cm="1">
        <f t="array" aca="1" ref="CM25" ca="1">IF($B25="","",IF(ISBLANK(INDIRECT("R11.Software!D"&amp;SUM(18,38*5,6))),"",INDIRECT("R11.Software!D"&amp;SUM(18,38*5,6))))</f>
        <v/>
      </c>
      <c r="CN25" s="215" t="str" cm="1">
        <f t="array" aca="1" ref="CN25" ca="1">IF($B25="","",IF(ISBLANK(INDIRECT("R12.ServiciosApoyo!D"&amp;SUM(18,38*0,6))),"",INDIRECT("R12.ServiciosApoyo!D"&amp;SUM(18,38*0,6))))</f>
        <v/>
      </c>
      <c r="CO25" s="215" t="str" cm="1">
        <f t="array" aca="1" ref="CO25" ca="1">IF($B25="","",IF(ISBLANK(INDIRECT("R12.ServiciosApoyo!D"&amp;SUM(18,38*1,6))),"",INDIRECT("R12.ServiciosApoyo!D"&amp;SUM(18,38*1,6))))</f>
        <v/>
      </c>
      <c r="CP25" s="215" t="str" cm="1">
        <f t="array" aca="1" ref="CP25" ca="1">IF($B25="","",IF(ISBLANK(INDIRECT("R12.ServiciosApoyo!D"&amp;SUM(18,38*2,6))),"",INDIRECT("R12.ServiciosApoyo!D"&amp;SUM(18,38*2,6))))</f>
        <v/>
      </c>
      <c r="CQ25" s="215" t="str" cm="1">
        <f t="array" aca="1" ref="CQ25" ca="1">IF($B25="","",IF(ISBLANK(INDIRECT("R12.ServiciosApoyo!D"&amp;SUM(18,38*3,6))),"",INDIRECT("R12.ServiciosApoyo!D"&amp;SUM(18,38*3,6))))</f>
        <v/>
      </c>
      <c r="CR25" s="215" t="str" cm="1">
        <f t="array" aca="1" ref="CR25" ca="1">IF($B25="","",IF(ISBLANK(INDIRECT("R12.ServiciosApoyo!D"&amp;SUM(18,38*4,6))),"",INDIRECT("R12.ServiciosApoyo!D"&amp;SUM(18,38*4,6))))</f>
        <v/>
      </c>
      <c r="CU25" s="100"/>
      <c r="CV25" s="29"/>
      <c r="CW25" s="29"/>
      <c r="CX25" s="29"/>
    </row>
    <row r="26" spans="2:102" ht="20.5">
      <c r="B26" s="181" t="str" cm="1">
        <f t="array" ref="B26">IFERROR(INDEX('03.Muestra'!$B$8:$B$42,SMALL(IF("Página Web"='03.Muestra'!$D$8:$D$42,ROW('03.Muestra'!$B$8:$B$42)-MIN(ROW('03.Muestra'!$D$8:$D$42))+1,""),ROW()-19)),"")</f>
        <v/>
      </c>
      <c r="C26" s="97" t="str" cm="1">
        <f t="array" ref="C26">IFERROR(INDEX('03.Muestra'!$C$8:$C$42,SMALL(IF("Página Web"='03.Muestra'!$D$8:$D$42,ROW('03.Muestra'!$C$8:$C$42)-MIN(ROW('03.Muestra'!$D$8:$D$42))+1,""),ROW()-19)),"")</f>
        <v/>
      </c>
      <c r="D26" s="98" t="str" cm="1">
        <f t="array" ref="D26">IFERROR(INDEX('03.Muestra'!$F$8:$F$42,SMALL(IF("Página Web"='03.Muestra'!$D$8:$D$42,ROW('03.Muestra'!$F$8:$F$42)-MIN(ROW('03.Muestra'!$D$8:$D$42))+1,""),ROW()-19)),"")</f>
        <v/>
      </c>
      <c r="E26" s="215" t="str" cm="1">
        <f t="array" aca="1" ref="E26" ca="1">IF($B26="","",IF(ISBLANK(INDIRECT("R5.Genéricos!D"&amp;SUM(18,38*0,7))),"",INDIRECT("R5.Genéricos!D"&amp;SUM(18,38*0,7))))</f>
        <v/>
      </c>
      <c r="F26" s="215" t="str" cm="1">
        <f t="array" aca="1" ref="F26" ca="1">IF($B26="","",IF(ISBLANK(INDIRECT("R5.Genéricos!D"&amp;SUM(18,38*1,7))),"",INDIRECT("R5.Genéricos!D"&amp;SUM(18,38*1,7))))</f>
        <v/>
      </c>
      <c r="G26" s="215" t="str" cm="1">
        <f t="array" aca="1" ref="G26" ca="1">IF($B26="","",IF(ISBLANK(INDIRECT("R5.Genéricos!D"&amp;SUM(18,38*2,7))),"",INDIRECT("R5.Genéricos!D"&amp;SUM(18,38*2,7))))</f>
        <v/>
      </c>
      <c r="H26" s="215" t="str" cm="1">
        <f t="array" aca="1" ref="H26" ca="1">IF($B26="","",IF(ISBLANK(INDIRECT("R6.Voz!D"&amp;SUM(18,38*0,7))),"",INDIRECT("R6.Voz!D"&amp;SUM(18,38*0,7))))</f>
        <v/>
      </c>
      <c r="I26" s="215" t="str" cm="1">
        <f t="array" aca="1" ref="I26" ca="1">IF($B26="","",IF(ISBLANK(INDIRECT("R6.Voz!D"&amp;SUM(18,38*1,7))),"",INDIRECT("R6.Voz!D"&amp;SUM(18,38*1,7))))</f>
        <v/>
      </c>
      <c r="J26" s="215" t="str" cm="1">
        <f t="array" aca="1" ref="J26" ca="1">IF($B26="","",IF(ISBLANK(INDIRECT("R6.Voz!D"&amp;SUM(18,38*2,7))),"",INDIRECT("R6.Voz!D"&amp;SUM(18,38*2,7))))</f>
        <v/>
      </c>
      <c r="K26" s="215" t="str" cm="1">
        <f t="array" aca="1" ref="K26" ca="1">IF($B26="","",IF(ISBLANK(INDIRECT("R6.Voz!D"&amp;SUM(18,38*3,7))),"",INDIRECT("R6.Voz!D"&amp;SUM(18,38*3,7))))</f>
        <v/>
      </c>
      <c r="L26" s="215" t="str" cm="1">
        <f t="array" aca="1" ref="L26" ca="1">IF($B26="","",IF(ISBLANK(INDIRECT("R6.Voz!D"&amp;SUM(18,38*4,7))),"",INDIRECT("R6.Voz!D"&amp;SUM(18,38*4,7))))</f>
        <v/>
      </c>
      <c r="M26" s="215" t="str" cm="1">
        <f t="array" aca="1" ref="M26" ca="1">IF($B26="","",IF(ISBLANK(INDIRECT("R6.Voz!D"&amp;SUM(18,38*5,7))),"",INDIRECT("R6.Voz!D"&amp;SUM(18,38*5,7))))</f>
        <v/>
      </c>
      <c r="N26" s="215" t="str" cm="1">
        <f t="array" aca="1" ref="N26" ca="1">IF($B26="","",IF(ISBLANK(INDIRECT("R6.Voz!D"&amp;SUM(18,38*6,7))),"",INDIRECT("R6.Voz!D"&amp;SUM(18,38*6,7))))</f>
        <v/>
      </c>
      <c r="O26" s="215" t="str" cm="1">
        <f t="array" aca="1" ref="O26" ca="1">IF($B26="","",IF(ISBLANK(INDIRECT("R6.Voz!D"&amp;SUM(18,38*7,7))),"",INDIRECT("R6.Voz!D"&amp;SUM(18,38*7,7))))</f>
        <v/>
      </c>
      <c r="P26" s="215" t="str" cm="1">
        <f t="array" aca="1" ref="P26" ca="1">IF($B26="","",IF(ISBLANK(INDIRECT("R6.Voz!D"&amp;SUM(18,38*8,7))),"",INDIRECT("R6.Voz!D"&amp;SUM(18,38*8,7))))</f>
        <v/>
      </c>
      <c r="Q26" s="215" t="str" cm="1">
        <f t="array" aca="1" ref="Q26" ca="1">IF($B26="","",IF(ISBLANK(INDIRECT("R6.Voz!D"&amp;SUM(18,38*9,7))),"",INDIRECT("R6.Voz!D"&amp;SUM(18,38*9,7))))</f>
        <v/>
      </c>
      <c r="R26" s="215" t="str" cm="1">
        <f t="array" aca="1" ref="R26" ca="1">IF($B26="","",IF(ISBLANK(INDIRECT("R6.Voz!D"&amp;SUM(18,38*10,7))),"",INDIRECT("R6.Voz!D"&amp;SUM(18,38*10,7))))</f>
        <v/>
      </c>
      <c r="S26" s="215" t="str" cm="1">
        <f t="array" aca="1" ref="S26" ca="1">IF($B26="","",IF(ISBLANK(INDIRECT("R6.Voz!D"&amp;SUM(18,38*11,7))),"",INDIRECT("R6.Voz!D"&amp;SUM(18,38*11,7))))</f>
        <v/>
      </c>
      <c r="T26" s="215" t="str" cm="1">
        <f t="array" aca="1" ref="T26" ca="1">IF($B26="","",IF(ISBLANK(INDIRECT("R6.Voz!D"&amp;SUM(18,38*12,7))),"",INDIRECT("R6.Voz!D"&amp;SUM(18,38*12,7))))</f>
        <v/>
      </c>
      <c r="U26" s="215" t="str" cm="1">
        <f t="array" aca="1" ref="U26" ca="1">IF($B26="","",IF(ISBLANK(INDIRECT("R6.Voz!D"&amp;SUM(18,38*13,7))),"",INDIRECT("R6.Voz!D"&amp;SUM(18,38*13,7))))</f>
        <v/>
      </c>
      <c r="V26" s="215" t="str" cm="1">
        <f t="array" aca="1" ref="V26" ca="1">IF($B26="","",IF(ISBLANK(INDIRECT("R6.Voz!D"&amp;SUM(18,38*14,7))),"",INDIRECT("R6.Voz!D"&amp;SUM(18,38*14,7))))</f>
        <v/>
      </c>
      <c r="W26" s="215" t="str" cm="1">
        <f t="array" aca="1" ref="W26" ca="1">IF($B26="","",IF(ISBLANK(INDIRECT("R6.Voz!D"&amp;SUM(18,38*15,7))),"",INDIRECT("R6.Voz!D"&amp;SUM(18,38*15,7))))</f>
        <v/>
      </c>
      <c r="X26" s="215" t="str" cm="1">
        <f t="array" aca="1" ref="X26" ca="1">IF($B26="","",IF(ISBLANK(INDIRECT("R6.Voz!D"&amp;SUM(18,38*16,7))),"",INDIRECT("R6.Voz!D"&amp;SUM(18,38*16,7))))</f>
        <v/>
      </c>
      <c r="Y26" s="215" t="str" cm="1">
        <f t="array" aca="1" ref="Y26" ca="1">IF($B26="","",IF(ISBLANK(INDIRECT("R6.Voz!D"&amp;SUM(18,38*17,7))),"",INDIRECT("R6.Voz!D"&amp;SUM(18,38*17,7))))</f>
        <v/>
      </c>
      <c r="Z26" s="215" t="str" cm="1">
        <f t="array" aca="1" ref="Z26" ca="1">IF($B26="","",IF(ISBLANK(INDIRECT("R6.Voz!D"&amp;SUM(18,38*18,7))),"",INDIRECT("R6.Voz!D"&amp;SUM(18,38*18,7))))</f>
        <v/>
      </c>
      <c r="AA26" s="215" t="str" cm="1">
        <f t="array" aca="1" ref="AA26" ca="1">IF($B26="","",IF(ISBLANK(INDIRECT("R7.Video!D"&amp;SUM(18,38*0,7))),"",INDIRECT("R7.Video!D"&amp;SUM(18,38*0,7))))</f>
        <v/>
      </c>
      <c r="AB26" s="215" t="str" cm="1">
        <f t="array" aca="1" ref="AB26" ca="1">IF($B26="","",IF(ISBLANK(INDIRECT("R7.Video!D"&amp;SUM(18,38*1,7))),"",INDIRECT("R7.Video!D"&amp;SUM(18,38*1,7))))</f>
        <v/>
      </c>
      <c r="AC26" s="215" t="str" cm="1">
        <f t="array" aca="1" ref="AC26" ca="1">IF($B26="","",IF(ISBLANK(INDIRECT("R7.Video!D"&amp;SUM(18,38*2,7))),"",INDIRECT("R7.Video!D"&amp;SUM(18,38*2,7))))</f>
        <v/>
      </c>
      <c r="AD26" s="215" t="str" cm="1">
        <f t="array" aca="1" ref="AD26" ca="1">IF($B26="","",IF(ISBLANK(INDIRECT("R7.Video!D"&amp;SUM(18,38*3,7))),"",INDIRECT("R7.Video!D"&amp;SUM(18,38*3,7))))</f>
        <v/>
      </c>
      <c r="AE26" s="215" t="str" cm="1">
        <f t="array" aca="1" ref="AE26" ca="1">IF($B26="","",IF(ISBLANK(INDIRECT("R7.Video!D"&amp;SUM(18,38*4,7))),"",INDIRECT("R7.Video!D"&amp;SUM(18,38*4,7))))</f>
        <v/>
      </c>
      <c r="AF26" s="215" t="str" cm="1">
        <f t="array" aca="1" ref="AF26" ca="1">IF($B26="","",IF(ISBLANK(INDIRECT("R7.Video!D"&amp;SUM(18,38*5,7))),"",INDIRECT("R7.Video!D"&amp;SUM(18,38*5,7))))</f>
        <v/>
      </c>
      <c r="AG26" s="215" t="str" cm="1">
        <f t="array" aca="1" ref="AG26" ca="1">IF($B26="","",IF(ISBLANK(INDIRECT("R7.Video!D"&amp;SUM(18,38*6,7))),"",INDIRECT("R7.Video!D"&amp;SUM(18,38*6,7))))</f>
        <v/>
      </c>
      <c r="AH26" s="215" t="str" cm="1">
        <f t="array" aca="1" ref="AH26" ca="1">IF($B26="","",IF(ISBLANK(INDIRECT("R7.Video!D"&amp;SUM(18,38*7,7))),"",INDIRECT("R7.Video!D"&amp;SUM(18,38*7,7))))</f>
        <v/>
      </c>
      <c r="AI26" s="215" t="str" cm="1">
        <f t="array" aca="1" ref="AI26" ca="1">IF($B26="","",IF(ISBLANK(INDIRECT("R7.Video!D"&amp;SUM(18,38*8,7))),"",INDIRECT("R7.Video!D"&amp;SUM(18,38*8,7))))</f>
        <v/>
      </c>
      <c r="AJ26" s="215" t="str" cm="1">
        <f t="array" aca="1" ref="AJ26" ca="1">IF($B26="","",IF(ISBLANK(INDIRECT("R9.Web!D"&amp;SUM(18,38*0,7))),"",INDIRECT("R9.Web!D"&amp;SUM(18,38*0,7))))</f>
        <v/>
      </c>
      <c r="AK26" s="215" t="str" cm="1">
        <f t="array" aca="1" ref="AK26" ca="1">IF($B26="","",IF(ISBLANK(INDIRECT("R9.Web!D"&amp;SUM(18,38*1,7))),"",INDIRECT("R9.Web!D"&amp;SUM(18,38*1,7))))</f>
        <v/>
      </c>
      <c r="AL26" s="215" t="str" cm="1">
        <f t="array" aca="1" ref="AL26" ca="1">IF($B26="","",IF(ISBLANK(INDIRECT("R9.Web!D"&amp;SUM(18,38*2,7))),"",INDIRECT("R9.Web!D"&amp;SUM(18,38*2,7))))</f>
        <v/>
      </c>
      <c r="AM26" s="215" t="str" cm="1">
        <f t="array" aca="1" ref="AM26" ca="1">IF($B26="","",IF(ISBLANK(INDIRECT("R9.Web!D"&amp;SUM(18,38*3,7))),"",INDIRECT("R9.Web!D"&amp;SUM(18,38*3,7))))</f>
        <v/>
      </c>
      <c r="AN26" s="215" t="str" cm="1">
        <f t="array" aca="1" ref="AN26" ca="1">IF($B26="","",IF(ISBLANK(INDIRECT("R9.Web!D"&amp;SUM(18,38*4,7))),"",INDIRECT("R9.Web!D"&amp;SUM(18,38*4,7))))</f>
        <v/>
      </c>
      <c r="AO26" s="215" t="str" cm="1">
        <f t="array" aca="1" ref="AO26" ca="1">IF($B26="","",IF(ISBLANK(INDIRECT("R9.Web!D"&amp;SUM(18,38*5,7))),"",INDIRECT("R9.Web!D"&amp;SUM(18,38*5,7))))</f>
        <v/>
      </c>
      <c r="AP26" s="215" t="str" cm="1">
        <f t="array" aca="1" ref="AP26" ca="1">IF($B26="","",IF(ISBLANK(INDIRECT("R9.Web!D"&amp;SUM(18,38*6,7))),"",INDIRECT("R9.Web!D"&amp;SUM(18,38*6,7))))</f>
        <v/>
      </c>
      <c r="AQ26" s="215" t="str" cm="1">
        <f t="array" aca="1" ref="AQ26" ca="1">IF($B26="","",IF(ISBLANK(INDIRECT("R9.Web!D"&amp;SUM(18,38*7,7))),"",INDIRECT("R9.Web!D"&amp;SUM(18,38*7,7))))</f>
        <v/>
      </c>
      <c r="AR26" s="215" t="str" cm="1">
        <f t="array" aca="1" ref="AR26" ca="1">IF($B26="","",IF(ISBLANK(INDIRECT("R9.Web!D"&amp;SUM(18,38*8,7))),"",INDIRECT("R9.Web!D"&amp;SUM(18,38*8,7))))</f>
        <v/>
      </c>
      <c r="AS26" s="215" t="str" cm="1">
        <f t="array" aca="1" ref="AS26" ca="1">IF($B26="","",IF(ISBLANK(INDIRECT("R9.Web!D"&amp;SUM(18,38*9,7))),"",INDIRECT("R9.Web!D"&amp;SUM(18,38*9,7))))</f>
        <v/>
      </c>
      <c r="AT26" s="215" t="str" cm="1">
        <f t="array" aca="1" ref="AT26" ca="1">IF($B26="","",IF(ISBLANK(INDIRECT("R9.Web!D"&amp;SUM(18,38*10,7))),"",INDIRECT("R9.Web!D"&amp;SUM(18,38*10,7))))</f>
        <v/>
      </c>
      <c r="AU26" s="215" t="str" cm="1">
        <f t="array" aca="1" ref="AU26" ca="1">IF($B26="","",IF(ISBLANK(INDIRECT("R9.Web!D"&amp;SUM(18,38*11,7))),"",INDIRECT("R9.Web!D"&amp;SUM(18,38*11,7))))</f>
        <v/>
      </c>
      <c r="AV26" s="215" t="str" cm="1">
        <f t="array" aca="1" ref="AV26" ca="1">IF($B26="","",IF(ISBLANK(INDIRECT("R9.Web!D"&amp;SUM(18,38*12,7))),"",INDIRECT("R9.Web!D"&amp;SUM(18,38*12,7))))</f>
        <v/>
      </c>
      <c r="AW26" s="215" t="str" cm="1">
        <f t="array" aca="1" ref="AW26" ca="1">IF($B26="","",IF(ISBLANK(INDIRECT("R9.Web!D"&amp;SUM(18,38*13,7))),"",INDIRECT("R9.Web!D"&amp;SUM(18,38*13,7))))</f>
        <v/>
      </c>
      <c r="AX26" s="215" t="str" cm="1">
        <f t="array" aca="1" ref="AX26" ca="1">IF($B26="","",IF(ISBLANK(INDIRECT("R9.Web!D"&amp;SUM(18,38*14,7))),"",INDIRECT("R9.Web!D"&amp;SUM(18,38*14,7))))</f>
        <v/>
      </c>
      <c r="AY26" s="215" t="str" cm="1">
        <f t="array" aca="1" ref="AY26" ca="1">IF($B26="","",IF(ISBLANK(INDIRECT("R9.Web!D"&amp;SUM(18,38*15,7))),"",INDIRECT("R9.Web!D"&amp;SUM(18,38*15,7))))</f>
        <v/>
      </c>
      <c r="AZ26" s="215" t="str" cm="1">
        <f t="array" aca="1" ref="AZ26" ca="1">IF($B26="","",IF(ISBLANK(INDIRECT("R9.Web!D"&amp;SUM(18,38*16,7))),"",INDIRECT("R9.Web!D"&amp;SUM(18,38*16,7))))</f>
        <v/>
      </c>
      <c r="BA26" s="215" t="str" cm="1">
        <f t="array" aca="1" ref="BA26" ca="1">IF($B26="","",IF(ISBLANK(INDIRECT("R9.Web!D"&amp;SUM(18,38*17,7))),"",INDIRECT("R9.Web!D"&amp;SUM(18,38*17,7))))</f>
        <v/>
      </c>
      <c r="BB26" s="215" t="str" cm="1">
        <f t="array" aca="1" ref="BB26" ca="1">IF($B26="","",IF(ISBLANK(INDIRECT("R9.Web!D"&amp;SUM(18,38*18,7))),"",INDIRECT("R9.Web!D"&amp;SUM(18,38*18,7))))</f>
        <v/>
      </c>
      <c r="BC26" s="215" t="str" cm="1">
        <f t="array" aca="1" ref="BC26" ca="1">IF($B26="","",IF(ISBLANK(INDIRECT("R9.Web!D"&amp;SUM(18,38*19,7))),"",INDIRECT("R9.Web!D"&amp;SUM(18,38*19,7))))</f>
        <v/>
      </c>
      <c r="BD26" s="215" t="str" cm="1">
        <f t="array" aca="1" ref="BD26" ca="1">IF($B26="","",IF(ISBLANK(INDIRECT("R9.Web!D"&amp;SUM(18,38*20,7))),"",INDIRECT("R9.Web!D"&amp;SUM(18,38*20,7))))</f>
        <v/>
      </c>
      <c r="BE26" s="215" t="str" cm="1">
        <f t="array" aca="1" ref="BE26" ca="1">IF($B26="","",IF(ISBLANK(INDIRECT("R9.Web!D"&amp;SUM(18,38*21,7))),"",INDIRECT("R9.Web!D"&amp;SUM(18,38*21,7))))</f>
        <v/>
      </c>
      <c r="BF26" s="215" t="str" cm="1">
        <f t="array" aca="1" ref="BF26" ca="1">IF($B26="","",IF(ISBLANK(INDIRECT("R9.Web!D"&amp;SUM(18,38*22,7))),"",INDIRECT("R9.Web!D"&amp;SUM(18,38*22,7))))</f>
        <v/>
      </c>
      <c r="BG26" s="215" t="str" cm="1">
        <f t="array" aca="1" ref="BG26" ca="1">IF($B26="","",IF(ISBLANK(INDIRECT("R9.Web!D"&amp;SUM(18,38*23,7))),"",INDIRECT("R9.Web!D"&amp;SUM(18,38*23,7))))</f>
        <v/>
      </c>
      <c r="BH26" s="215" t="str" cm="1">
        <f t="array" aca="1" ref="BH26" ca="1">IF($B26="","",IF(ISBLANK(INDIRECT("R9.Web!D"&amp;SUM(18,38*24,7))),"",INDIRECT("R9.Web!D"&amp;SUM(18,38*24,7))))</f>
        <v/>
      </c>
      <c r="BI26" s="215" t="str" cm="1">
        <f t="array" aca="1" ref="BI26" ca="1">IF($B26="","",IF(ISBLANK(INDIRECT("R9.Web!D"&amp;SUM(18,38*25,7))),"",INDIRECT("R9.Web!D"&amp;SUM(18,38*25,7))))</f>
        <v/>
      </c>
      <c r="BJ26" s="215" t="str" cm="1">
        <f t="array" aca="1" ref="BJ26" ca="1">IF($B26="","",IF(ISBLANK(INDIRECT("R9.Web!D"&amp;SUM(18,38*26,7))),"",INDIRECT("R9.Web!D"&amp;SUM(18,38*26,7))))</f>
        <v/>
      </c>
      <c r="BK26" s="215" t="str" cm="1">
        <f t="array" aca="1" ref="BK26" ca="1">IF($B26="","",IF(ISBLANK(INDIRECT("R9.Web!D"&amp;SUM(18,38*27,7))),"",INDIRECT("R9.Web!D"&amp;SUM(18,38*27,7))))</f>
        <v/>
      </c>
      <c r="BL26" s="215" t="str" cm="1">
        <f t="array" aca="1" ref="BL26" ca="1">IF($B26="","",IF(ISBLANK(INDIRECT("R9.Web!D"&amp;SUM(18,38*28,7))),"",INDIRECT("R9.Web!D"&amp;SUM(18,38*28,7))))</f>
        <v/>
      </c>
      <c r="BM26" s="215" t="str" cm="1">
        <f t="array" aca="1" ref="BM26" ca="1">IF($B26="","",IF(ISBLANK(INDIRECT("R9.Web!D"&amp;SUM(18,38*29,7))),"",INDIRECT("R9.Web!D"&amp;SUM(18,38*29,7))))</f>
        <v/>
      </c>
      <c r="BN26" s="215" t="str" cm="1">
        <f t="array" aca="1" ref="BN26" ca="1">IF($B26="","",IF(ISBLANK(INDIRECT("R9.Web!D"&amp;SUM(18,38*30,7))),"",INDIRECT("R9.Web!D"&amp;SUM(18,38*30,7))))</f>
        <v/>
      </c>
      <c r="BO26" s="215" t="str" cm="1">
        <f t="array" aca="1" ref="BO26" ca="1">IF($B26="","",IF(ISBLANK(INDIRECT("R9.Web!D"&amp;SUM(18,38*31,7))),"",INDIRECT("R9.Web!D"&amp;SUM(18,38*31,7))))</f>
        <v/>
      </c>
      <c r="BP26" s="215" t="str" cm="1">
        <f t="array" aca="1" ref="BP26" ca="1">IF($B26="","",IF(ISBLANK(INDIRECT("R9.Web!D"&amp;SUM(18,38*32,7))),"",INDIRECT("R9.Web!D"&amp;SUM(18,38*32,7))))</f>
        <v/>
      </c>
      <c r="BQ26" s="215" t="str" cm="1">
        <f t="array" aca="1" ref="BQ26" ca="1">IF($B26="","",IF(ISBLANK(INDIRECT("R9.Web!D"&amp;SUM(18,38*33,7))),"",INDIRECT("R9.Web!D"&amp;SUM(18,38*33,7))))</f>
        <v/>
      </c>
      <c r="BR26" s="215" t="str" cm="1">
        <f t="array" aca="1" ref="BR26" ca="1">IF($B26="","",IF(ISBLANK(INDIRECT("R9.Web!D"&amp;SUM(18,38*34,7))),"",INDIRECT("R9.Web!D"&amp;SUM(18,38*34,7))))</f>
        <v/>
      </c>
      <c r="BS26" s="215" t="str" cm="1">
        <f t="array" aca="1" ref="BS26" ca="1">IF($B26="","",IF(ISBLANK(INDIRECT("R9.Web!D"&amp;SUM(18,38*35,7))),"",INDIRECT("R9.Web!D"&amp;SUM(18,38*35,7))))</f>
        <v/>
      </c>
      <c r="BT26" s="215" t="str" cm="1">
        <f t="array" aca="1" ref="BT26" ca="1">IF($B26="","",IF(ISBLANK(INDIRECT("R9.Web!D"&amp;SUM(18,38*36,7))),"",INDIRECT("R9.Web!D"&amp;SUM(18,38*36,7))))</f>
        <v/>
      </c>
      <c r="BU26" s="215" t="str" cm="1">
        <f t="array" aca="1" ref="BU26" ca="1">IF($B26="","",IF(ISBLANK(INDIRECT("R9.Web!D"&amp;SUM(18,38*37,7))),"",INDIRECT("R9.Web!D"&amp;SUM(18,38*37,7))))</f>
        <v/>
      </c>
      <c r="BV26" s="215" t="str" cm="1">
        <f t="array" aca="1" ref="BV26" ca="1">IF($B26="","",IF(ISBLANK(INDIRECT("R9.Web!D"&amp;SUM(18,38*38,7))),"",INDIRECT("R9.Web!D"&amp;SUM(18,38*38,7))))</f>
        <v/>
      </c>
      <c r="BW26" s="215" t="str" cm="1">
        <f t="array" aca="1" ref="BW26" ca="1">IF($B26="","",IF(ISBLANK(INDIRECT("R9.Web!D"&amp;SUM(18,38*39,7))),"",INDIRECT("R9.Web!D"&amp;SUM(18,38*39,7))))</f>
        <v/>
      </c>
      <c r="BX26" s="215" t="str" cm="1">
        <f t="array" aca="1" ref="BX26" ca="1">IF($B26="","",IF(ISBLANK(INDIRECT("R9.Web!D"&amp;SUM(18,38*40,7))),"",INDIRECT("R9.Web!D"&amp;SUM(18,38*40,7))))</f>
        <v/>
      </c>
      <c r="BY26" s="215" t="str" cm="1">
        <f t="array" aca="1" ref="BY26" ca="1">IF($B26="","",IF(ISBLANK(INDIRECT("R9.Web!D"&amp;SUM(18,38*41,7))),"",INDIRECT("R9.Web!D"&amp;SUM(18,38*41,7))))</f>
        <v/>
      </c>
      <c r="BZ26" s="215" t="str" cm="1">
        <f t="array" aca="1" ref="BZ26" ca="1">IF($B26="","",IF(ISBLANK(INDIRECT("R9.Web!D"&amp;SUM(18,38*42,7))),"",INDIRECT("R9.Web!D"&amp;SUM(18,38*42,7))))</f>
        <v/>
      </c>
      <c r="CA26" s="215" t="str" cm="1">
        <f t="array" aca="1" ref="CA26" ca="1">IF($B26="","",IF(ISBLANK(INDIRECT("R9.Web!D"&amp;SUM(18,38*43,7))),"",INDIRECT("R9.Web!D"&amp;SUM(18,38*43,7))))</f>
        <v/>
      </c>
      <c r="CB26" s="215" t="str" cm="1">
        <f t="array" aca="1" ref="CB26" ca="1">IF($B26="","",IF(ISBLANK(INDIRECT("R9.Web!D"&amp;SUM(18,38*44,7))),"",INDIRECT("R9.Web!D"&amp;SUM(18,38*44,7))))</f>
        <v/>
      </c>
      <c r="CC26" s="215" t="str" cm="1">
        <f t="array" aca="1" ref="CC26" ca="1">IF($B26="","",IF(ISBLANK(INDIRECT("R9.Web!D"&amp;SUM(18,38*45,7))),"",INDIRECT("R9.Web!D"&amp;SUM(18,38*45,7))))</f>
        <v/>
      </c>
      <c r="CD26" s="215" t="str" cm="1">
        <f t="array" aca="1" ref="CD26" ca="1">IF($B26="","",IF(ISBLANK(INDIRECT("R9.Web!D"&amp;SUM(18,38*46,7))),"",INDIRECT("R9.Web!D"&amp;SUM(18,38*46,7))))</f>
        <v/>
      </c>
      <c r="CE26" s="215" t="str" cm="1">
        <f t="array" aca="1" ref="CE26" ca="1">IF($B26="","",IF(ISBLANK(INDIRECT("R9.Web!D"&amp;SUM(18,38*47,7))),"",INDIRECT("R9.Web!D"&amp;SUM(18,38*47,7))))</f>
        <v/>
      </c>
      <c r="CF26" s="215" t="str" cm="1">
        <f t="array" aca="1" ref="CF26" ca="1">IF($B26="","",IF(ISBLANK(INDIRECT("R9.Web!D"&amp;SUM(18,38*48,7))),"",INDIRECT("R9.Web!D"&amp;SUM(18,38*48,7))))</f>
        <v/>
      </c>
      <c r="CG26" s="215" t="str" cm="1">
        <f t="array" aca="1" ref="CG26" ca="1">IF($B26="","",IF(ISBLANK(INDIRECT("R9.Web!D"&amp;SUM(18,38*49,7))),"",INDIRECT("R9.Web!D"&amp;SUM(18,38*49,7))))</f>
        <v/>
      </c>
      <c r="CH26" s="215" t="str" cm="1">
        <f t="array" aca="1" ref="CH26" ca="1">IF($B26="","",IF(ISBLANK(INDIRECT("R11.Software!D"&amp;SUM(18,38*0,7))),"",INDIRECT("R11.Software!D"&amp;SUM(18,38*0,7))))</f>
        <v/>
      </c>
      <c r="CI26" s="215" t="str" cm="1">
        <f t="array" aca="1" ref="CI26" ca="1">IF($B26="","",IF(ISBLANK(INDIRECT("R11.Software!D"&amp;SUM(18,38*1,7))),"",INDIRECT("R11.Software!D"&amp;SUM(18,38*1,7))))</f>
        <v/>
      </c>
      <c r="CJ26" s="215" t="str" cm="1">
        <f t="array" aca="1" ref="CJ26" ca="1">IF($B26="","",IF(ISBLANK(INDIRECT("R11.Software!D"&amp;SUM(18,38*2,7))),"",INDIRECT("R11.Software!D"&amp;SUM(18,38*2,7))))</f>
        <v/>
      </c>
      <c r="CK26" s="215" t="str" cm="1">
        <f t="array" aca="1" ref="CK26" ca="1">IF($B26="","",IF(ISBLANK(INDIRECT("R11.Software!D"&amp;SUM(18,38*3,7))),"",INDIRECT("R11.Software!D"&amp;SUM(18,38*3,7))))</f>
        <v/>
      </c>
      <c r="CL26" s="215" t="str" cm="1">
        <f t="array" aca="1" ref="CL26" ca="1">IF($B26="","",IF(ISBLANK(INDIRECT("R11.Software!D"&amp;SUM(18,38*4,7))),"",INDIRECT("R11.Software!D"&amp;SUM(18,38*4,7))))</f>
        <v/>
      </c>
      <c r="CM26" s="215" t="str" cm="1">
        <f t="array" aca="1" ref="CM26" ca="1">IF($B26="","",IF(ISBLANK(INDIRECT("R11.Software!D"&amp;SUM(18,38*5,7))),"",INDIRECT("R11.Software!D"&amp;SUM(18,38*5,7))))</f>
        <v/>
      </c>
      <c r="CN26" s="215" t="str" cm="1">
        <f t="array" aca="1" ref="CN26" ca="1">IF($B26="","",IF(ISBLANK(INDIRECT("R12.ServiciosApoyo!D"&amp;SUM(18,38*0,7))),"",INDIRECT("R12.ServiciosApoyo!D"&amp;SUM(18,38*0,7))))</f>
        <v/>
      </c>
      <c r="CO26" s="215" t="str" cm="1">
        <f t="array" aca="1" ref="CO26" ca="1">IF($B26="","",IF(ISBLANK(INDIRECT("R12.ServiciosApoyo!D"&amp;SUM(18,38*1,7))),"",INDIRECT("R12.ServiciosApoyo!D"&amp;SUM(18,38*1,7))))</f>
        <v/>
      </c>
      <c r="CP26" s="215" t="str" cm="1">
        <f t="array" aca="1" ref="CP26" ca="1">IF($B26="","",IF(ISBLANK(INDIRECT("R12.ServiciosApoyo!D"&amp;SUM(18,38*2,7))),"",INDIRECT("R12.ServiciosApoyo!D"&amp;SUM(18,38*2,7))))</f>
        <v/>
      </c>
      <c r="CQ26" s="215" t="str" cm="1">
        <f t="array" aca="1" ref="CQ26" ca="1">IF($B26="","",IF(ISBLANK(INDIRECT("R12.ServiciosApoyo!D"&amp;SUM(18,38*3,7))),"",INDIRECT("R12.ServiciosApoyo!D"&amp;SUM(18,38*3,7))))</f>
        <v/>
      </c>
      <c r="CR26" s="215" t="str" cm="1">
        <f t="array" aca="1" ref="CR26" ca="1">IF($B26="","",IF(ISBLANK(INDIRECT("R12.ServiciosApoyo!D"&amp;SUM(18,38*4,7))),"",INDIRECT("R12.ServiciosApoyo!D"&amp;SUM(18,38*4,7))))</f>
        <v/>
      </c>
      <c r="CU26" s="100"/>
      <c r="CV26" s="29"/>
      <c r="CW26" s="29"/>
      <c r="CX26" s="29"/>
    </row>
    <row r="27" spans="2:102" ht="20.5">
      <c r="B27" s="181" t="str" cm="1">
        <f t="array" ref="B27">IFERROR(INDEX('03.Muestra'!$B$8:$B$42,SMALL(IF("Página Web"='03.Muestra'!$D$8:$D$42,ROW('03.Muestra'!$B$8:$B$42)-MIN(ROW('03.Muestra'!$D$8:$D$42))+1,""),ROW()-19)),"")</f>
        <v/>
      </c>
      <c r="C27" s="97" t="str" cm="1">
        <f t="array" ref="C27">IFERROR(INDEX('03.Muestra'!$C$8:$C$42,SMALL(IF("Página Web"='03.Muestra'!$D$8:$D$42,ROW('03.Muestra'!$C$8:$C$42)-MIN(ROW('03.Muestra'!$D$8:$D$42))+1,""),ROW()-19)),"")</f>
        <v/>
      </c>
      <c r="D27" s="98" t="str" cm="1">
        <f t="array" ref="D27">IFERROR(INDEX('03.Muestra'!$F$8:$F$42,SMALL(IF("Página Web"='03.Muestra'!$D$8:$D$42,ROW('03.Muestra'!$F$8:$F$42)-MIN(ROW('03.Muestra'!$D$8:$D$42))+1,""),ROW()-19)),"")</f>
        <v/>
      </c>
      <c r="E27" s="215" t="str" cm="1">
        <f t="array" aca="1" ref="E27" ca="1">IF($B27="","",IF(ISBLANK(INDIRECT("R5.Genéricos!D"&amp;SUM(18,38*0,8))),"",INDIRECT("R5.Genéricos!D"&amp;SUM(18,38*0,8))))</f>
        <v/>
      </c>
      <c r="F27" s="215" t="str" cm="1">
        <f t="array" aca="1" ref="F27" ca="1">IF($B27="","",IF(ISBLANK(INDIRECT("R5.Genéricos!D"&amp;SUM(18,38*1,8))),"",INDIRECT("R5.Genéricos!D"&amp;SUM(18,38*1,8))))</f>
        <v/>
      </c>
      <c r="G27" s="215" t="str" cm="1">
        <f t="array" aca="1" ref="G27" ca="1">IF($B27="","",IF(ISBLANK(INDIRECT("R5.Genéricos!D"&amp;SUM(18,38*2,8))),"",INDIRECT("R5.Genéricos!D"&amp;SUM(18,38*2,8))))</f>
        <v/>
      </c>
      <c r="H27" s="215" t="str" cm="1">
        <f t="array" aca="1" ref="H27" ca="1">IF($B27="","",IF(ISBLANK(INDIRECT("R6.Voz!D"&amp;SUM(18,38*0,8))),"",INDIRECT("R6.Voz!D"&amp;SUM(18,38*0,8))))</f>
        <v/>
      </c>
      <c r="I27" s="215" t="str" cm="1">
        <f t="array" aca="1" ref="I27" ca="1">IF($B27="","",IF(ISBLANK(INDIRECT("R6.Voz!D"&amp;SUM(18,38*1,8))),"",INDIRECT("R6.Voz!D"&amp;SUM(18,38*1,8))))</f>
        <v/>
      </c>
      <c r="J27" s="215" t="str" cm="1">
        <f t="array" aca="1" ref="J27" ca="1">IF($B27="","",IF(ISBLANK(INDIRECT("R6.Voz!D"&amp;SUM(18,38*2,8))),"",INDIRECT("R6.Voz!D"&amp;SUM(18,38*2,8))))</f>
        <v/>
      </c>
      <c r="K27" s="215" t="str" cm="1">
        <f t="array" aca="1" ref="K27" ca="1">IF($B27="","",IF(ISBLANK(INDIRECT("R6.Voz!D"&amp;SUM(18,38*3,8))),"",INDIRECT("R6.Voz!D"&amp;SUM(18,38*3,8))))</f>
        <v/>
      </c>
      <c r="L27" s="215" t="str" cm="1">
        <f t="array" aca="1" ref="L27" ca="1">IF($B27="","",IF(ISBLANK(INDIRECT("R6.Voz!D"&amp;SUM(18,38*4,8))),"",INDIRECT("R6.Voz!D"&amp;SUM(18,38*4,8))))</f>
        <v/>
      </c>
      <c r="M27" s="215" t="str" cm="1">
        <f t="array" aca="1" ref="M27" ca="1">IF($B27="","",IF(ISBLANK(INDIRECT("R6.Voz!D"&amp;SUM(18,38*5,8))),"",INDIRECT("R6.Voz!D"&amp;SUM(18,38*5,8))))</f>
        <v/>
      </c>
      <c r="N27" s="215" t="str" cm="1">
        <f t="array" aca="1" ref="N27" ca="1">IF($B27="","",IF(ISBLANK(INDIRECT("R6.Voz!D"&amp;SUM(18,38*6,8))),"",INDIRECT("R6.Voz!D"&amp;SUM(18,38*6,8))))</f>
        <v/>
      </c>
      <c r="O27" s="215" t="str" cm="1">
        <f t="array" aca="1" ref="O27" ca="1">IF($B27="","",IF(ISBLANK(INDIRECT("R6.Voz!D"&amp;SUM(18,38*7,8))),"",INDIRECT("R6.Voz!D"&amp;SUM(18,38*7,8))))</f>
        <v/>
      </c>
      <c r="P27" s="215" t="str" cm="1">
        <f t="array" aca="1" ref="P27" ca="1">IF($B27="","",IF(ISBLANK(INDIRECT("R6.Voz!D"&amp;SUM(18,38*8,8))),"",INDIRECT("R6.Voz!D"&amp;SUM(18,38*8,8))))</f>
        <v/>
      </c>
      <c r="Q27" s="215" t="str" cm="1">
        <f t="array" aca="1" ref="Q27" ca="1">IF($B27="","",IF(ISBLANK(INDIRECT("R6.Voz!D"&amp;SUM(18,38*9,8))),"",INDIRECT("R6.Voz!D"&amp;SUM(18,38*9,8))))</f>
        <v/>
      </c>
      <c r="R27" s="215" t="str" cm="1">
        <f t="array" aca="1" ref="R27" ca="1">IF($B27="","",IF(ISBLANK(INDIRECT("R6.Voz!D"&amp;SUM(18,38*10,8))),"",INDIRECT("R6.Voz!D"&amp;SUM(18,38*10,8))))</f>
        <v/>
      </c>
      <c r="S27" s="215" t="str" cm="1">
        <f t="array" aca="1" ref="S27" ca="1">IF($B27="","",IF(ISBLANK(INDIRECT("R6.Voz!D"&amp;SUM(18,38*11,8))),"",INDIRECT("R6.Voz!D"&amp;SUM(18,38*11,8))))</f>
        <v/>
      </c>
      <c r="T27" s="215" t="str" cm="1">
        <f t="array" aca="1" ref="T27" ca="1">IF($B27="","",IF(ISBLANK(INDIRECT("R6.Voz!D"&amp;SUM(18,38*12,8))),"",INDIRECT("R6.Voz!D"&amp;SUM(18,38*12,8))))</f>
        <v/>
      </c>
      <c r="U27" s="215" t="str" cm="1">
        <f t="array" aca="1" ref="U27" ca="1">IF($B27="","",IF(ISBLANK(INDIRECT("R6.Voz!D"&amp;SUM(18,38*13,8))),"",INDIRECT("R6.Voz!D"&amp;SUM(18,38*13,8))))</f>
        <v/>
      </c>
      <c r="V27" s="215" t="str" cm="1">
        <f t="array" aca="1" ref="V27" ca="1">IF($B27="","",IF(ISBLANK(INDIRECT("R6.Voz!D"&amp;SUM(18,38*14,8))),"",INDIRECT("R6.Voz!D"&amp;SUM(18,38*14,8))))</f>
        <v/>
      </c>
      <c r="W27" s="215" t="str" cm="1">
        <f t="array" aca="1" ref="W27" ca="1">IF($B27="","",IF(ISBLANK(INDIRECT("R6.Voz!D"&amp;SUM(18,38*15,8))),"",INDIRECT("R6.Voz!D"&amp;SUM(18,38*15,8))))</f>
        <v/>
      </c>
      <c r="X27" s="215" t="str" cm="1">
        <f t="array" aca="1" ref="X27" ca="1">IF($B27="","",IF(ISBLANK(INDIRECT("R6.Voz!D"&amp;SUM(18,38*16,8))),"",INDIRECT("R6.Voz!D"&amp;SUM(18,38*16,8))))</f>
        <v/>
      </c>
      <c r="Y27" s="215" t="str" cm="1">
        <f t="array" aca="1" ref="Y27" ca="1">IF($B27="","",IF(ISBLANK(INDIRECT("R6.Voz!D"&amp;SUM(18,38*17,8))),"",INDIRECT("R6.Voz!D"&amp;SUM(18,38*17,8))))</f>
        <v/>
      </c>
      <c r="Z27" s="215" t="str" cm="1">
        <f t="array" aca="1" ref="Z27" ca="1">IF($B27="","",IF(ISBLANK(INDIRECT("R6.Voz!D"&amp;SUM(18,38*18,8))),"",INDIRECT("R6.Voz!D"&amp;SUM(18,38*18,8))))</f>
        <v/>
      </c>
      <c r="AA27" s="215" t="str" cm="1">
        <f t="array" aca="1" ref="AA27" ca="1">IF($B27="","",IF(ISBLANK(INDIRECT("R7.Video!D"&amp;SUM(18,38*0,8))),"",INDIRECT("R7.Video!D"&amp;SUM(18,38*0,8))))</f>
        <v/>
      </c>
      <c r="AB27" s="215" t="str" cm="1">
        <f t="array" aca="1" ref="AB27" ca="1">IF($B27="","",IF(ISBLANK(INDIRECT("R7.Video!D"&amp;SUM(18,38*1,8))),"",INDIRECT("R7.Video!D"&amp;SUM(18,38*1,8))))</f>
        <v/>
      </c>
      <c r="AC27" s="215" t="str" cm="1">
        <f t="array" aca="1" ref="AC27" ca="1">IF($B27="","",IF(ISBLANK(INDIRECT("R7.Video!D"&amp;SUM(18,38*2,8))),"",INDIRECT("R7.Video!D"&amp;SUM(18,38*2,8))))</f>
        <v/>
      </c>
      <c r="AD27" s="215" t="str" cm="1">
        <f t="array" aca="1" ref="AD27" ca="1">IF($B27="","",IF(ISBLANK(INDIRECT("R7.Video!D"&amp;SUM(18,38*3,8))),"",INDIRECT("R7.Video!D"&amp;SUM(18,38*3,8))))</f>
        <v/>
      </c>
      <c r="AE27" s="215" t="str" cm="1">
        <f t="array" aca="1" ref="AE27" ca="1">IF($B27="","",IF(ISBLANK(INDIRECT("R7.Video!D"&amp;SUM(18,38*4,8))),"",INDIRECT("R7.Video!D"&amp;SUM(18,38*4,8))))</f>
        <v/>
      </c>
      <c r="AF27" s="215" t="str" cm="1">
        <f t="array" aca="1" ref="AF27" ca="1">IF($B27="","",IF(ISBLANK(INDIRECT("R7.Video!D"&amp;SUM(18,38*5,8))),"",INDIRECT("R7.Video!D"&amp;SUM(18,38*5,8))))</f>
        <v/>
      </c>
      <c r="AG27" s="215" t="str" cm="1">
        <f t="array" aca="1" ref="AG27" ca="1">IF($B27="","",IF(ISBLANK(INDIRECT("R7.Video!D"&amp;SUM(18,38*6,8))),"",INDIRECT("R7.Video!D"&amp;SUM(18,38*6,8))))</f>
        <v/>
      </c>
      <c r="AH27" s="215" t="str" cm="1">
        <f t="array" aca="1" ref="AH27" ca="1">IF($B27="","",IF(ISBLANK(INDIRECT("R7.Video!D"&amp;SUM(18,38*7,8))),"",INDIRECT("R7.Video!D"&amp;SUM(18,38*7,8))))</f>
        <v/>
      </c>
      <c r="AI27" s="215" t="str" cm="1">
        <f t="array" aca="1" ref="AI27" ca="1">IF($B27="","",IF(ISBLANK(INDIRECT("R7.Video!D"&amp;SUM(18,38*8,8))),"",INDIRECT("R7.Video!D"&amp;SUM(18,38*8,8))))</f>
        <v/>
      </c>
      <c r="AJ27" s="215" t="str" cm="1">
        <f t="array" aca="1" ref="AJ27" ca="1">IF($B27="","",IF(ISBLANK(INDIRECT("R9.Web!D"&amp;SUM(18,38*0,8))),"",INDIRECT("R9.Web!D"&amp;SUM(18,38*0,8))))</f>
        <v/>
      </c>
      <c r="AK27" s="215" t="str" cm="1">
        <f t="array" aca="1" ref="AK27" ca="1">IF($B27="","",IF(ISBLANK(INDIRECT("R9.Web!D"&amp;SUM(18,38*1,8))),"",INDIRECT("R9.Web!D"&amp;SUM(18,38*1,8))))</f>
        <v/>
      </c>
      <c r="AL27" s="215" t="str" cm="1">
        <f t="array" aca="1" ref="AL27" ca="1">IF($B27="","",IF(ISBLANK(INDIRECT("R9.Web!D"&amp;SUM(18,38*2,8))),"",INDIRECT("R9.Web!D"&amp;SUM(18,38*2,8))))</f>
        <v/>
      </c>
      <c r="AM27" s="215" t="str" cm="1">
        <f t="array" aca="1" ref="AM27" ca="1">IF($B27="","",IF(ISBLANK(INDIRECT("R9.Web!D"&amp;SUM(18,38*3,8))),"",INDIRECT("R9.Web!D"&amp;SUM(18,38*3,8))))</f>
        <v/>
      </c>
      <c r="AN27" s="215" t="str" cm="1">
        <f t="array" aca="1" ref="AN27" ca="1">IF($B27="","",IF(ISBLANK(INDIRECT("R9.Web!D"&amp;SUM(18,38*4,8))),"",INDIRECT("R9.Web!D"&amp;SUM(18,38*4,8))))</f>
        <v/>
      </c>
      <c r="AO27" s="215" t="str" cm="1">
        <f t="array" aca="1" ref="AO27" ca="1">IF($B27="","",IF(ISBLANK(INDIRECT("R9.Web!D"&amp;SUM(18,38*5,8))),"",INDIRECT("R9.Web!D"&amp;SUM(18,38*5,8))))</f>
        <v/>
      </c>
      <c r="AP27" s="215" t="str" cm="1">
        <f t="array" aca="1" ref="AP27" ca="1">IF($B27="","",IF(ISBLANK(INDIRECT("R9.Web!D"&amp;SUM(18,38*6,8))),"",INDIRECT("R9.Web!D"&amp;SUM(18,38*6,8))))</f>
        <v/>
      </c>
      <c r="AQ27" s="215" t="str" cm="1">
        <f t="array" aca="1" ref="AQ27" ca="1">IF($B27="","",IF(ISBLANK(INDIRECT("R9.Web!D"&amp;SUM(18,38*7,8))),"",INDIRECT("R9.Web!D"&amp;SUM(18,38*7,8))))</f>
        <v/>
      </c>
      <c r="AR27" s="215" t="str" cm="1">
        <f t="array" aca="1" ref="AR27" ca="1">IF($B27="","",IF(ISBLANK(INDIRECT("R9.Web!D"&amp;SUM(18,38*8,8))),"",INDIRECT("R9.Web!D"&amp;SUM(18,38*8,8))))</f>
        <v/>
      </c>
      <c r="AS27" s="215" t="str" cm="1">
        <f t="array" aca="1" ref="AS27" ca="1">IF($B27="","",IF(ISBLANK(INDIRECT("R9.Web!D"&amp;SUM(18,38*9,8))),"",INDIRECT("R9.Web!D"&amp;SUM(18,38*9,8))))</f>
        <v/>
      </c>
      <c r="AT27" s="215" t="str" cm="1">
        <f t="array" aca="1" ref="AT27" ca="1">IF($B27="","",IF(ISBLANK(INDIRECT("R9.Web!D"&amp;SUM(18,38*10,8))),"",INDIRECT("R9.Web!D"&amp;SUM(18,38*10,8))))</f>
        <v/>
      </c>
      <c r="AU27" s="215" t="str" cm="1">
        <f t="array" aca="1" ref="AU27" ca="1">IF($B27="","",IF(ISBLANK(INDIRECT("R9.Web!D"&amp;SUM(18,38*11,8))),"",INDIRECT("R9.Web!D"&amp;SUM(18,38*11,8))))</f>
        <v/>
      </c>
      <c r="AV27" s="215" t="str" cm="1">
        <f t="array" aca="1" ref="AV27" ca="1">IF($B27="","",IF(ISBLANK(INDIRECT("R9.Web!D"&amp;SUM(18,38*12,8))),"",INDIRECT("R9.Web!D"&amp;SUM(18,38*12,8))))</f>
        <v/>
      </c>
      <c r="AW27" s="215" t="str" cm="1">
        <f t="array" aca="1" ref="AW27" ca="1">IF($B27="","",IF(ISBLANK(INDIRECT("R9.Web!D"&amp;SUM(18,38*13,8))),"",INDIRECT("R9.Web!D"&amp;SUM(18,38*13,8))))</f>
        <v/>
      </c>
      <c r="AX27" s="215" t="str" cm="1">
        <f t="array" aca="1" ref="AX27" ca="1">IF($B27="","",IF(ISBLANK(INDIRECT("R9.Web!D"&amp;SUM(18,38*14,8))),"",INDIRECT("R9.Web!D"&amp;SUM(18,38*14,8))))</f>
        <v/>
      </c>
      <c r="AY27" s="215" t="str" cm="1">
        <f t="array" aca="1" ref="AY27" ca="1">IF($B27="","",IF(ISBLANK(INDIRECT("R9.Web!D"&amp;SUM(18,38*15,8))),"",INDIRECT("R9.Web!D"&amp;SUM(18,38*15,8))))</f>
        <v/>
      </c>
      <c r="AZ27" s="215" t="str" cm="1">
        <f t="array" aca="1" ref="AZ27" ca="1">IF($B27="","",IF(ISBLANK(INDIRECT("R9.Web!D"&amp;SUM(18,38*16,8))),"",INDIRECT("R9.Web!D"&amp;SUM(18,38*16,8))))</f>
        <v/>
      </c>
      <c r="BA27" s="215" t="str" cm="1">
        <f t="array" aca="1" ref="BA27" ca="1">IF($B27="","",IF(ISBLANK(INDIRECT("R9.Web!D"&amp;SUM(18,38*17,8))),"",INDIRECT("R9.Web!D"&amp;SUM(18,38*17,8))))</f>
        <v/>
      </c>
      <c r="BB27" s="215" t="str" cm="1">
        <f t="array" aca="1" ref="BB27" ca="1">IF($B27="","",IF(ISBLANK(INDIRECT("R9.Web!D"&amp;SUM(18,38*18,8))),"",INDIRECT("R9.Web!D"&amp;SUM(18,38*18,8))))</f>
        <v/>
      </c>
      <c r="BC27" s="215" t="str" cm="1">
        <f t="array" aca="1" ref="BC27" ca="1">IF($B27="","",IF(ISBLANK(INDIRECT("R9.Web!D"&amp;SUM(18,38*19,8))),"",INDIRECT("R9.Web!D"&amp;SUM(18,38*19,8))))</f>
        <v/>
      </c>
      <c r="BD27" s="215" t="str" cm="1">
        <f t="array" aca="1" ref="BD27" ca="1">IF($B27="","",IF(ISBLANK(INDIRECT("R9.Web!D"&amp;SUM(18,38*20,8))),"",INDIRECT("R9.Web!D"&amp;SUM(18,38*20,8))))</f>
        <v/>
      </c>
      <c r="BE27" s="215" t="str" cm="1">
        <f t="array" aca="1" ref="BE27" ca="1">IF($B27="","",IF(ISBLANK(INDIRECT("R9.Web!D"&amp;SUM(18,38*21,8))),"",INDIRECT("R9.Web!D"&amp;SUM(18,38*21,8))))</f>
        <v/>
      </c>
      <c r="BF27" s="215" t="str" cm="1">
        <f t="array" aca="1" ref="BF27" ca="1">IF($B27="","",IF(ISBLANK(INDIRECT("R9.Web!D"&amp;SUM(18,38*22,8))),"",INDIRECT("R9.Web!D"&amp;SUM(18,38*22,8))))</f>
        <v/>
      </c>
      <c r="BG27" s="215" t="str" cm="1">
        <f t="array" aca="1" ref="BG27" ca="1">IF($B27="","",IF(ISBLANK(INDIRECT("R9.Web!D"&amp;SUM(18,38*23,8))),"",INDIRECT("R9.Web!D"&amp;SUM(18,38*23,8))))</f>
        <v/>
      </c>
      <c r="BH27" s="215" t="str" cm="1">
        <f t="array" aca="1" ref="BH27" ca="1">IF($B27="","",IF(ISBLANK(INDIRECT("R9.Web!D"&amp;SUM(18,38*24,8))),"",INDIRECT("R9.Web!D"&amp;SUM(18,38*24,8))))</f>
        <v/>
      </c>
      <c r="BI27" s="215" t="str" cm="1">
        <f t="array" aca="1" ref="BI27" ca="1">IF($B27="","",IF(ISBLANK(INDIRECT("R9.Web!D"&amp;SUM(18,38*25,8))),"",INDIRECT("R9.Web!D"&amp;SUM(18,38*25,8))))</f>
        <v/>
      </c>
      <c r="BJ27" s="215" t="str" cm="1">
        <f t="array" aca="1" ref="BJ27" ca="1">IF($B27="","",IF(ISBLANK(INDIRECT("R9.Web!D"&amp;SUM(18,38*26,8))),"",INDIRECT("R9.Web!D"&amp;SUM(18,38*26,8))))</f>
        <v/>
      </c>
      <c r="BK27" s="215" t="str" cm="1">
        <f t="array" aca="1" ref="BK27" ca="1">IF($B27="","",IF(ISBLANK(INDIRECT("R9.Web!D"&amp;SUM(18,38*27,8))),"",INDIRECT("R9.Web!D"&amp;SUM(18,38*27,8))))</f>
        <v/>
      </c>
      <c r="BL27" s="215" t="str" cm="1">
        <f t="array" aca="1" ref="BL27" ca="1">IF($B27="","",IF(ISBLANK(INDIRECT("R9.Web!D"&amp;SUM(18,38*28,8))),"",INDIRECT("R9.Web!D"&amp;SUM(18,38*28,8))))</f>
        <v/>
      </c>
      <c r="BM27" s="215" t="str" cm="1">
        <f t="array" aca="1" ref="BM27" ca="1">IF($B27="","",IF(ISBLANK(INDIRECT("R9.Web!D"&amp;SUM(18,38*29,8))),"",INDIRECT("R9.Web!D"&amp;SUM(18,38*29,8))))</f>
        <v/>
      </c>
      <c r="BN27" s="215" t="str" cm="1">
        <f t="array" aca="1" ref="BN27" ca="1">IF($B27="","",IF(ISBLANK(INDIRECT("R9.Web!D"&amp;SUM(18,38*30,8))),"",INDIRECT("R9.Web!D"&amp;SUM(18,38*30,8))))</f>
        <v/>
      </c>
      <c r="BO27" s="215" t="str" cm="1">
        <f t="array" aca="1" ref="BO27" ca="1">IF($B27="","",IF(ISBLANK(INDIRECT("R9.Web!D"&amp;SUM(18,38*31,8))),"",INDIRECT("R9.Web!D"&amp;SUM(18,38*31,8))))</f>
        <v/>
      </c>
      <c r="BP27" s="215" t="str" cm="1">
        <f t="array" aca="1" ref="BP27" ca="1">IF($B27="","",IF(ISBLANK(INDIRECT("R9.Web!D"&amp;SUM(18,38*32,8))),"",INDIRECT("R9.Web!D"&amp;SUM(18,38*32,8))))</f>
        <v/>
      </c>
      <c r="BQ27" s="215" t="str" cm="1">
        <f t="array" aca="1" ref="BQ27" ca="1">IF($B27="","",IF(ISBLANK(INDIRECT("R9.Web!D"&amp;SUM(18,38*33,8))),"",INDIRECT("R9.Web!D"&amp;SUM(18,38*33,8))))</f>
        <v/>
      </c>
      <c r="BR27" s="215" t="str" cm="1">
        <f t="array" aca="1" ref="BR27" ca="1">IF($B27="","",IF(ISBLANK(INDIRECT("R9.Web!D"&amp;SUM(18,38*34,8))),"",INDIRECT("R9.Web!D"&amp;SUM(18,38*34,8))))</f>
        <v/>
      </c>
      <c r="BS27" s="215" t="str" cm="1">
        <f t="array" aca="1" ref="BS27" ca="1">IF($B27="","",IF(ISBLANK(INDIRECT("R9.Web!D"&amp;SUM(18,38*35,8))),"",INDIRECT("R9.Web!D"&amp;SUM(18,38*35,8))))</f>
        <v/>
      </c>
      <c r="BT27" s="215" t="str" cm="1">
        <f t="array" aca="1" ref="BT27" ca="1">IF($B27="","",IF(ISBLANK(INDIRECT("R9.Web!D"&amp;SUM(18,38*36,8))),"",INDIRECT("R9.Web!D"&amp;SUM(18,38*36,8))))</f>
        <v/>
      </c>
      <c r="BU27" s="215" t="str" cm="1">
        <f t="array" aca="1" ref="BU27" ca="1">IF($B27="","",IF(ISBLANK(INDIRECT("R9.Web!D"&amp;SUM(18,38*37,8))),"",INDIRECT("R9.Web!D"&amp;SUM(18,38*37,8))))</f>
        <v/>
      </c>
      <c r="BV27" s="215" t="str" cm="1">
        <f t="array" aca="1" ref="BV27" ca="1">IF($B27="","",IF(ISBLANK(INDIRECT("R9.Web!D"&amp;SUM(18,38*38,8))),"",INDIRECT("R9.Web!D"&amp;SUM(18,38*38,8))))</f>
        <v/>
      </c>
      <c r="BW27" s="215" t="str" cm="1">
        <f t="array" aca="1" ref="BW27" ca="1">IF($B27="","",IF(ISBLANK(INDIRECT("R9.Web!D"&amp;SUM(18,38*39,8))),"",INDIRECT("R9.Web!D"&amp;SUM(18,38*39,8))))</f>
        <v/>
      </c>
      <c r="BX27" s="215" t="str" cm="1">
        <f t="array" aca="1" ref="BX27" ca="1">IF($B27="","",IF(ISBLANK(INDIRECT("R9.Web!D"&amp;SUM(18,38*40,8))),"",INDIRECT("R9.Web!D"&amp;SUM(18,38*40,8))))</f>
        <v/>
      </c>
      <c r="BY27" s="215" t="str" cm="1">
        <f t="array" aca="1" ref="BY27" ca="1">IF($B27="","",IF(ISBLANK(INDIRECT("R9.Web!D"&amp;SUM(18,38*41,8))),"",INDIRECT("R9.Web!D"&amp;SUM(18,38*41,8))))</f>
        <v/>
      </c>
      <c r="BZ27" s="215" t="str" cm="1">
        <f t="array" aca="1" ref="BZ27" ca="1">IF($B27="","",IF(ISBLANK(INDIRECT("R9.Web!D"&amp;SUM(18,38*42,8))),"",INDIRECT("R9.Web!D"&amp;SUM(18,38*42,8))))</f>
        <v/>
      </c>
      <c r="CA27" s="215" t="str" cm="1">
        <f t="array" aca="1" ref="CA27" ca="1">IF($B27="","",IF(ISBLANK(INDIRECT("R9.Web!D"&amp;SUM(18,38*43,8))),"",INDIRECT("R9.Web!D"&amp;SUM(18,38*43,8))))</f>
        <v/>
      </c>
      <c r="CB27" s="215" t="str" cm="1">
        <f t="array" aca="1" ref="CB27" ca="1">IF($B27="","",IF(ISBLANK(INDIRECT("R9.Web!D"&amp;SUM(18,38*44,8))),"",INDIRECT("R9.Web!D"&amp;SUM(18,38*44,8))))</f>
        <v/>
      </c>
      <c r="CC27" s="215" t="str" cm="1">
        <f t="array" aca="1" ref="CC27" ca="1">IF($B27="","",IF(ISBLANK(INDIRECT("R9.Web!D"&amp;SUM(18,38*45,8))),"",INDIRECT("R9.Web!D"&amp;SUM(18,38*45,8))))</f>
        <v/>
      </c>
      <c r="CD27" s="215" t="str" cm="1">
        <f t="array" aca="1" ref="CD27" ca="1">IF($B27="","",IF(ISBLANK(INDIRECT("R9.Web!D"&amp;SUM(18,38*46,8))),"",INDIRECT("R9.Web!D"&amp;SUM(18,38*46,8))))</f>
        <v/>
      </c>
      <c r="CE27" s="215" t="str" cm="1">
        <f t="array" aca="1" ref="CE27" ca="1">IF($B27="","",IF(ISBLANK(INDIRECT("R9.Web!D"&amp;SUM(18,38*47,8))),"",INDIRECT("R9.Web!D"&amp;SUM(18,38*47,8))))</f>
        <v/>
      </c>
      <c r="CF27" s="215" t="str" cm="1">
        <f t="array" aca="1" ref="CF27" ca="1">IF($B27="","",IF(ISBLANK(INDIRECT("R9.Web!D"&amp;SUM(18,38*48,8))),"",INDIRECT("R9.Web!D"&amp;SUM(18,38*48,8))))</f>
        <v/>
      </c>
      <c r="CG27" s="215" t="str" cm="1">
        <f t="array" aca="1" ref="CG27" ca="1">IF($B27="","",IF(ISBLANK(INDIRECT("R9.Web!D"&amp;SUM(18,38*49,8))),"",INDIRECT("R9.Web!D"&amp;SUM(18,38*49,8))))</f>
        <v/>
      </c>
      <c r="CH27" s="215" t="str" cm="1">
        <f t="array" aca="1" ref="CH27" ca="1">IF($B27="","",IF(ISBLANK(INDIRECT("R11.Software!D"&amp;SUM(18,38*0,8))),"",INDIRECT("R11.Software!D"&amp;SUM(18,38*0,8))))</f>
        <v/>
      </c>
      <c r="CI27" s="215" t="str" cm="1">
        <f t="array" aca="1" ref="CI27" ca="1">IF($B27="","",IF(ISBLANK(INDIRECT("R11.Software!D"&amp;SUM(18,38*1,8))),"",INDIRECT("R11.Software!D"&amp;SUM(18,38*1,8))))</f>
        <v/>
      </c>
      <c r="CJ27" s="215" t="str" cm="1">
        <f t="array" aca="1" ref="CJ27" ca="1">IF($B27="","",IF(ISBLANK(INDIRECT("R11.Software!D"&amp;SUM(18,38*2,8))),"",INDIRECT("R11.Software!D"&amp;SUM(18,38*2,8))))</f>
        <v/>
      </c>
      <c r="CK27" s="215" t="str" cm="1">
        <f t="array" aca="1" ref="CK27" ca="1">IF($B27="","",IF(ISBLANK(INDIRECT("R11.Software!D"&amp;SUM(18,38*3,8))),"",INDIRECT("R11.Software!D"&amp;SUM(18,38*3,8))))</f>
        <v/>
      </c>
      <c r="CL27" s="215" t="str" cm="1">
        <f t="array" aca="1" ref="CL27" ca="1">IF($B27="","",IF(ISBLANK(INDIRECT("R11.Software!D"&amp;SUM(18,38*4,8))),"",INDIRECT("R11.Software!D"&amp;SUM(18,38*4,8))))</f>
        <v/>
      </c>
      <c r="CM27" s="215" t="str" cm="1">
        <f t="array" aca="1" ref="CM27" ca="1">IF($B27="","",IF(ISBLANK(INDIRECT("R11.Software!D"&amp;SUM(18,38*5,8))),"",INDIRECT("R11.Software!D"&amp;SUM(18,38*5,8))))</f>
        <v/>
      </c>
      <c r="CN27" s="215" t="str" cm="1">
        <f t="array" aca="1" ref="CN27" ca="1">IF($B27="","",IF(ISBLANK(INDIRECT("R12.ServiciosApoyo!D"&amp;SUM(18,38*0,8))),"",INDIRECT("R12.ServiciosApoyo!D"&amp;SUM(18,38*0,8))))</f>
        <v/>
      </c>
      <c r="CO27" s="215" t="str" cm="1">
        <f t="array" aca="1" ref="CO27" ca="1">IF($B27="","",IF(ISBLANK(INDIRECT("R12.ServiciosApoyo!D"&amp;SUM(18,38*1,8))),"",INDIRECT("R12.ServiciosApoyo!D"&amp;SUM(18,38*1,8))))</f>
        <v/>
      </c>
      <c r="CP27" s="215" t="str" cm="1">
        <f t="array" aca="1" ref="CP27" ca="1">IF($B27="","",IF(ISBLANK(INDIRECT("R12.ServiciosApoyo!D"&amp;SUM(18,38*2,8))),"",INDIRECT("R12.ServiciosApoyo!D"&amp;SUM(18,38*2,8))))</f>
        <v/>
      </c>
      <c r="CQ27" s="215" t="str" cm="1">
        <f t="array" aca="1" ref="CQ27" ca="1">IF($B27="","",IF(ISBLANK(INDIRECT("R12.ServiciosApoyo!D"&amp;SUM(18,38*3,8))),"",INDIRECT("R12.ServiciosApoyo!D"&amp;SUM(18,38*3,8))))</f>
        <v/>
      </c>
      <c r="CR27" s="215" t="str" cm="1">
        <f t="array" aca="1" ref="CR27" ca="1">IF($B27="","",IF(ISBLANK(INDIRECT("R12.ServiciosApoyo!D"&amp;SUM(18,38*4,8))),"",INDIRECT("R12.ServiciosApoyo!D"&amp;SUM(18,38*4,8))))</f>
        <v/>
      </c>
      <c r="CU27" s="100"/>
      <c r="CV27" s="29"/>
      <c r="CW27" s="29"/>
      <c r="CX27" s="29"/>
    </row>
    <row r="28" spans="2:102" ht="20.5">
      <c r="B28" s="181" t="str" cm="1">
        <f t="array" ref="B28">IFERROR(INDEX('03.Muestra'!$B$8:$B$42,SMALL(IF("Página Web"='03.Muestra'!$D$8:$D$42,ROW('03.Muestra'!$B$8:$B$42)-MIN(ROW('03.Muestra'!$D$8:$D$42))+1,""),ROW()-19)),"")</f>
        <v/>
      </c>
      <c r="C28" s="97" t="str" cm="1">
        <f t="array" ref="C28">IFERROR(INDEX('03.Muestra'!$C$8:$C$42,SMALL(IF("Página Web"='03.Muestra'!$D$8:$D$42,ROW('03.Muestra'!$C$8:$C$42)-MIN(ROW('03.Muestra'!$D$8:$D$42))+1,""),ROW()-19)),"")</f>
        <v/>
      </c>
      <c r="D28" s="98" t="str" cm="1">
        <f t="array" ref="D28">IFERROR(INDEX('03.Muestra'!$F$8:$F$42,SMALL(IF("Página Web"='03.Muestra'!$D$8:$D$42,ROW('03.Muestra'!$F$8:$F$42)-MIN(ROW('03.Muestra'!$D$8:$D$42))+1,""),ROW()-19)),"")</f>
        <v/>
      </c>
      <c r="E28" s="215" t="str" cm="1">
        <f t="array" aca="1" ref="E28" ca="1">IF($B28="","",IF(ISBLANK(INDIRECT("R5.Genéricos!D"&amp;SUM(18,38*0,9))),"",INDIRECT("R5.Genéricos!D"&amp;SUM(18,38*0,9))))</f>
        <v/>
      </c>
      <c r="F28" s="215" t="str" cm="1">
        <f t="array" aca="1" ref="F28" ca="1">IF($B28="","",IF(ISBLANK(INDIRECT("R5.Genéricos!D"&amp;SUM(18,38*1,9))),"",INDIRECT("R5.Genéricos!D"&amp;SUM(18,38*1,9))))</f>
        <v/>
      </c>
      <c r="G28" s="215" t="str" cm="1">
        <f t="array" aca="1" ref="G28" ca="1">IF($B28="","",IF(ISBLANK(INDIRECT("R5.Genéricos!D"&amp;SUM(18,38*2,9))),"",INDIRECT("R5.Genéricos!D"&amp;SUM(18,38*2,9))))</f>
        <v/>
      </c>
      <c r="H28" s="215" t="str" cm="1">
        <f t="array" aca="1" ref="H28" ca="1">IF($B28="","",IF(ISBLANK(INDIRECT("R6.Voz!D"&amp;SUM(18,38*0,9))),"",INDIRECT("R6.Voz!D"&amp;SUM(18,38*0,9))))</f>
        <v/>
      </c>
      <c r="I28" s="215" t="str" cm="1">
        <f t="array" aca="1" ref="I28" ca="1">IF($B28="","",IF(ISBLANK(INDIRECT("R6.Voz!D"&amp;SUM(18,38*1,9))),"",INDIRECT("R6.Voz!D"&amp;SUM(18,38*1,9))))</f>
        <v/>
      </c>
      <c r="J28" s="215" t="str" cm="1">
        <f t="array" aca="1" ref="J28" ca="1">IF($B28="","",IF(ISBLANK(INDIRECT("R6.Voz!D"&amp;SUM(18,38*2,9))),"",INDIRECT("R6.Voz!D"&amp;SUM(18,38*2,9))))</f>
        <v/>
      </c>
      <c r="K28" s="215" t="str" cm="1">
        <f t="array" aca="1" ref="K28" ca="1">IF($B28="","",IF(ISBLANK(INDIRECT("R6.Voz!D"&amp;SUM(18,38*3,9))),"",INDIRECT("R6.Voz!D"&amp;SUM(18,38*3,9))))</f>
        <v/>
      </c>
      <c r="L28" s="215" t="str" cm="1">
        <f t="array" aca="1" ref="L28" ca="1">IF($B28="","",IF(ISBLANK(INDIRECT("R6.Voz!D"&amp;SUM(18,38*4,9))),"",INDIRECT("R6.Voz!D"&amp;SUM(18,38*4,9))))</f>
        <v/>
      </c>
      <c r="M28" s="215" t="str" cm="1">
        <f t="array" aca="1" ref="M28" ca="1">IF($B28="","",IF(ISBLANK(INDIRECT("R6.Voz!D"&amp;SUM(18,38*5,9))),"",INDIRECT("R6.Voz!D"&amp;SUM(18,38*5,9))))</f>
        <v/>
      </c>
      <c r="N28" s="215" t="str" cm="1">
        <f t="array" aca="1" ref="N28" ca="1">IF($B28="","",IF(ISBLANK(INDIRECT("R6.Voz!D"&amp;SUM(18,38*6,9))),"",INDIRECT("R6.Voz!D"&amp;SUM(18,38*6,9))))</f>
        <v/>
      </c>
      <c r="O28" s="215" t="str" cm="1">
        <f t="array" aca="1" ref="O28" ca="1">IF($B28="","",IF(ISBLANK(INDIRECT("R6.Voz!D"&amp;SUM(18,38*7,9))),"",INDIRECT("R6.Voz!D"&amp;SUM(18,38*7,9))))</f>
        <v/>
      </c>
      <c r="P28" s="215" t="str" cm="1">
        <f t="array" aca="1" ref="P28" ca="1">IF($B28="","",IF(ISBLANK(INDIRECT("R6.Voz!D"&amp;SUM(18,38*8,9))),"",INDIRECT("R6.Voz!D"&amp;SUM(18,38*8,9))))</f>
        <v/>
      </c>
      <c r="Q28" s="215" t="str" cm="1">
        <f t="array" aca="1" ref="Q28" ca="1">IF($B28="","",IF(ISBLANK(INDIRECT("R6.Voz!D"&amp;SUM(18,38*9,9))),"",INDIRECT("R6.Voz!D"&amp;SUM(18,38*9,9))))</f>
        <v/>
      </c>
      <c r="R28" s="215" t="str" cm="1">
        <f t="array" aca="1" ref="R28" ca="1">IF($B28="","",IF(ISBLANK(INDIRECT("R6.Voz!D"&amp;SUM(18,38*10,9))),"",INDIRECT("R6.Voz!D"&amp;SUM(18,38*10,9))))</f>
        <v/>
      </c>
      <c r="S28" s="215" t="str" cm="1">
        <f t="array" aca="1" ref="S28" ca="1">IF($B28="","",IF(ISBLANK(INDIRECT("R6.Voz!D"&amp;SUM(18,38*11,9))),"",INDIRECT("R6.Voz!D"&amp;SUM(18,38*11,9))))</f>
        <v/>
      </c>
      <c r="T28" s="215" t="str" cm="1">
        <f t="array" aca="1" ref="T28" ca="1">IF($B28="","",IF(ISBLANK(INDIRECT("R6.Voz!D"&amp;SUM(18,38*12,9))),"",INDIRECT("R6.Voz!D"&amp;SUM(18,38*12,9))))</f>
        <v/>
      </c>
      <c r="U28" s="215" t="str" cm="1">
        <f t="array" aca="1" ref="U28" ca="1">IF($B28="","",IF(ISBLANK(INDIRECT("R6.Voz!D"&amp;SUM(18,38*13,9))),"",INDIRECT("R6.Voz!D"&amp;SUM(18,38*13,9))))</f>
        <v/>
      </c>
      <c r="V28" s="215" t="str" cm="1">
        <f t="array" aca="1" ref="V28" ca="1">IF($B28="","",IF(ISBLANK(INDIRECT("R6.Voz!D"&amp;SUM(18,38*14,9))),"",INDIRECT("R6.Voz!D"&amp;SUM(18,38*14,9))))</f>
        <v/>
      </c>
      <c r="W28" s="215" t="str" cm="1">
        <f t="array" aca="1" ref="W28" ca="1">IF($B28="","",IF(ISBLANK(INDIRECT("R6.Voz!D"&amp;SUM(18,38*15,9))),"",INDIRECT("R6.Voz!D"&amp;SUM(18,38*15,9))))</f>
        <v/>
      </c>
      <c r="X28" s="215" t="str" cm="1">
        <f t="array" aca="1" ref="X28" ca="1">IF($B28="","",IF(ISBLANK(INDIRECT("R6.Voz!D"&amp;SUM(18,38*16,9))),"",INDIRECT("R6.Voz!D"&amp;SUM(18,38*16,9))))</f>
        <v/>
      </c>
      <c r="Y28" s="215" t="str" cm="1">
        <f t="array" aca="1" ref="Y28" ca="1">IF($B28="","",IF(ISBLANK(INDIRECT("R6.Voz!D"&amp;SUM(18,38*17,9))),"",INDIRECT("R6.Voz!D"&amp;SUM(18,38*17,9))))</f>
        <v/>
      </c>
      <c r="Z28" s="215" t="str" cm="1">
        <f t="array" aca="1" ref="Z28" ca="1">IF($B28="","",IF(ISBLANK(INDIRECT("R6.Voz!D"&amp;SUM(18,38*18,9))),"",INDIRECT("R6.Voz!D"&amp;SUM(18,38*18,9))))</f>
        <v/>
      </c>
      <c r="AA28" s="215" t="str" cm="1">
        <f t="array" aca="1" ref="AA28" ca="1">IF($B28="","",IF(ISBLANK(INDIRECT("R7.Video!D"&amp;SUM(18,38*0,9))),"",INDIRECT("R7.Video!D"&amp;SUM(18,38*0,9))))</f>
        <v/>
      </c>
      <c r="AB28" s="215" t="str" cm="1">
        <f t="array" aca="1" ref="AB28" ca="1">IF($B28="","",IF(ISBLANK(INDIRECT("R7.Video!D"&amp;SUM(18,38*1,9))),"",INDIRECT("R7.Video!D"&amp;SUM(18,38*1,9))))</f>
        <v/>
      </c>
      <c r="AC28" s="215" t="str" cm="1">
        <f t="array" aca="1" ref="AC28" ca="1">IF($B28="","",IF(ISBLANK(INDIRECT("R7.Video!D"&amp;SUM(18,38*2,9))),"",INDIRECT("R7.Video!D"&amp;SUM(18,38*2,9))))</f>
        <v/>
      </c>
      <c r="AD28" s="215" t="str" cm="1">
        <f t="array" aca="1" ref="AD28" ca="1">IF($B28="","",IF(ISBLANK(INDIRECT("R7.Video!D"&amp;SUM(18,38*3,9))),"",INDIRECT("R7.Video!D"&amp;SUM(18,38*3,9))))</f>
        <v/>
      </c>
      <c r="AE28" s="215" t="str" cm="1">
        <f t="array" aca="1" ref="AE28" ca="1">IF($B28="","",IF(ISBLANK(INDIRECT("R7.Video!D"&amp;SUM(18,38*4,9))),"",INDIRECT("R7.Video!D"&amp;SUM(18,38*4,9))))</f>
        <v/>
      </c>
      <c r="AF28" s="215" t="str" cm="1">
        <f t="array" aca="1" ref="AF28" ca="1">IF($B28="","",IF(ISBLANK(INDIRECT("R7.Video!D"&amp;SUM(18,38*5,9))),"",INDIRECT("R7.Video!D"&amp;SUM(18,38*5,9))))</f>
        <v/>
      </c>
      <c r="AG28" s="215" t="str" cm="1">
        <f t="array" aca="1" ref="AG28" ca="1">IF($B28="","",IF(ISBLANK(INDIRECT("R7.Video!D"&amp;SUM(18,38*6,9))),"",INDIRECT("R7.Video!D"&amp;SUM(18,38*6,9))))</f>
        <v/>
      </c>
      <c r="AH28" s="215" t="str" cm="1">
        <f t="array" aca="1" ref="AH28" ca="1">IF($B28="","",IF(ISBLANK(INDIRECT("R7.Video!D"&amp;SUM(18,38*7,9))),"",INDIRECT("R7.Video!D"&amp;SUM(18,38*7,9))))</f>
        <v/>
      </c>
      <c r="AI28" s="215" t="str" cm="1">
        <f t="array" aca="1" ref="AI28" ca="1">IF($B28="","",IF(ISBLANK(INDIRECT("R7.Video!D"&amp;SUM(18,38*8,9))),"",INDIRECT("R7.Video!D"&amp;SUM(18,38*8,9))))</f>
        <v/>
      </c>
      <c r="AJ28" s="215" t="str" cm="1">
        <f t="array" aca="1" ref="AJ28" ca="1">IF($B28="","",IF(ISBLANK(INDIRECT("R9.Web!D"&amp;SUM(18,38*0,9))),"",INDIRECT("R9.Web!D"&amp;SUM(18,38*0,9))))</f>
        <v/>
      </c>
      <c r="AK28" s="215" t="str" cm="1">
        <f t="array" aca="1" ref="AK28" ca="1">IF($B28="","",IF(ISBLANK(INDIRECT("R9.Web!D"&amp;SUM(18,38*1,9))),"",INDIRECT("R9.Web!D"&amp;SUM(18,38*1,9))))</f>
        <v/>
      </c>
      <c r="AL28" s="215" t="str" cm="1">
        <f t="array" aca="1" ref="AL28" ca="1">IF($B28="","",IF(ISBLANK(INDIRECT("R9.Web!D"&amp;SUM(18,38*2,9))),"",INDIRECT("R9.Web!D"&amp;SUM(18,38*2,9))))</f>
        <v/>
      </c>
      <c r="AM28" s="215" t="str" cm="1">
        <f t="array" aca="1" ref="AM28" ca="1">IF($B28="","",IF(ISBLANK(INDIRECT("R9.Web!D"&amp;SUM(18,38*3,9))),"",INDIRECT("R9.Web!D"&amp;SUM(18,38*3,9))))</f>
        <v/>
      </c>
      <c r="AN28" s="215" t="str" cm="1">
        <f t="array" aca="1" ref="AN28" ca="1">IF($B28="","",IF(ISBLANK(INDIRECT("R9.Web!D"&amp;SUM(18,38*4,9))),"",INDIRECT("R9.Web!D"&amp;SUM(18,38*4,9))))</f>
        <v/>
      </c>
      <c r="AO28" s="215" t="str" cm="1">
        <f t="array" aca="1" ref="AO28" ca="1">IF($B28="","",IF(ISBLANK(INDIRECT("R9.Web!D"&amp;SUM(18,38*5,9))),"",INDIRECT("R9.Web!D"&amp;SUM(18,38*5,9))))</f>
        <v/>
      </c>
      <c r="AP28" s="215" t="str" cm="1">
        <f t="array" aca="1" ref="AP28" ca="1">IF($B28="","",IF(ISBLANK(INDIRECT("R9.Web!D"&amp;SUM(18,38*6,9))),"",INDIRECT("R9.Web!D"&amp;SUM(18,38*6,9))))</f>
        <v/>
      </c>
      <c r="AQ28" s="215" t="str" cm="1">
        <f t="array" aca="1" ref="AQ28" ca="1">IF($B28="","",IF(ISBLANK(INDIRECT("R9.Web!D"&amp;SUM(18,38*7,9))),"",INDIRECT("R9.Web!D"&amp;SUM(18,38*7,9))))</f>
        <v/>
      </c>
      <c r="AR28" s="215" t="str" cm="1">
        <f t="array" aca="1" ref="AR28" ca="1">IF($B28="","",IF(ISBLANK(INDIRECT("R9.Web!D"&amp;SUM(18,38*8,9))),"",INDIRECT("R9.Web!D"&amp;SUM(18,38*8,9))))</f>
        <v/>
      </c>
      <c r="AS28" s="215" t="str" cm="1">
        <f t="array" aca="1" ref="AS28" ca="1">IF($B28="","",IF(ISBLANK(INDIRECT("R9.Web!D"&amp;SUM(18,38*9,9))),"",INDIRECT("R9.Web!D"&amp;SUM(18,38*9,9))))</f>
        <v/>
      </c>
      <c r="AT28" s="215" t="str" cm="1">
        <f t="array" aca="1" ref="AT28" ca="1">IF($B28="","",IF(ISBLANK(INDIRECT("R9.Web!D"&amp;SUM(18,38*10,9))),"",INDIRECT("R9.Web!D"&amp;SUM(18,38*10,9))))</f>
        <v/>
      </c>
      <c r="AU28" s="215" t="str" cm="1">
        <f t="array" aca="1" ref="AU28" ca="1">IF($B28="","",IF(ISBLANK(INDIRECT("R9.Web!D"&amp;SUM(18,38*11,9))),"",INDIRECT("R9.Web!D"&amp;SUM(18,38*11,9))))</f>
        <v/>
      </c>
      <c r="AV28" s="215" t="str" cm="1">
        <f t="array" aca="1" ref="AV28" ca="1">IF($B28="","",IF(ISBLANK(INDIRECT("R9.Web!D"&amp;SUM(18,38*12,9))),"",INDIRECT("R9.Web!D"&amp;SUM(18,38*12,9))))</f>
        <v/>
      </c>
      <c r="AW28" s="215" t="str" cm="1">
        <f t="array" aca="1" ref="AW28" ca="1">IF($B28="","",IF(ISBLANK(INDIRECT("R9.Web!D"&amp;SUM(18,38*13,9))),"",INDIRECT("R9.Web!D"&amp;SUM(18,38*13,9))))</f>
        <v/>
      </c>
      <c r="AX28" s="215" t="str" cm="1">
        <f t="array" aca="1" ref="AX28" ca="1">IF($B28="","",IF(ISBLANK(INDIRECT("R9.Web!D"&amp;SUM(18,38*14,9))),"",INDIRECT("R9.Web!D"&amp;SUM(18,38*14,9))))</f>
        <v/>
      </c>
      <c r="AY28" s="215" t="str" cm="1">
        <f t="array" aca="1" ref="AY28" ca="1">IF($B28="","",IF(ISBLANK(INDIRECT("R9.Web!D"&amp;SUM(18,38*15,9))),"",INDIRECT("R9.Web!D"&amp;SUM(18,38*15,9))))</f>
        <v/>
      </c>
      <c r="AZ28" s="215" t="str" cm="1">
        <f t="array" aca="1" ref="AZ28" ca="1">IF($B28="","",IF(ISBLANK(INDIRECT("R9.Web!D"&amp;SUM(18,38*16,9))),"",INDIRECT("R9.Web!D"&amp;SUM(18,38*16,9))))</f>
        <v/>
      </c>
      <c r="BA28" s="215" t="str" cm="1">
        <f t="array" aca="1" ref="BA28" ca="1">IF($B28="","",IF(ISBLANK(INDIRECT("R9.Web!D"&amp;SUM(18,38*17,9))),"",INDIRECT("R9.Web!D"&amp;SUM(18,38*17,9))))</f>
        <v/>
      </c>
      <c r="BB28" s="215" t="str" cm="1">
        <f t="array" aca="1" ref="BB28" ca="1">IF($B28="","",IF(ISBLANK(INDIRECT("R9.Web!D"&amp;SUM(18,38*18,9))),"",INDIRECT("R9.Web!D"&amp;SUM(18,38*18,9))))</f>
        <v/>
      </c>
      <c r="BC28" s="215" t="str" cm="1">
        <f t="array" aca="1" ref="BC28" ca="1">IF($B28="","",IF(ISBLANK(INDIRECT("R9.Web!D"&amp;SUM(18,38*19,9))),"",INDIRECT("R9.Web!D"&amp;SUM(18,38*19,9))))</f>
        <v/>
      </c>
      <c r="BD28" s="215" t="str" cm="1">
        <f t="array" aca="1" ref="BD28" ca="1">IF($B28="","",IF(ISBLANK(INDIRECT("R9.Web!D"&amp;SUM(18,38*20,9))),"",INDIRECT("R9.Web!D"&amp;SUM(18,38*20,9))))</f>
        <v/>
      </c>
      <c r="BE28" s="215" t="str" cm="1">
        <f t="array" aca="1" ref="BE28" ca="1">IF($B28="","",IF(ISBLANK(INDIRECT("R9.Web!D"&amp;SUM(18,38*21,9))),"",INDIRECT("R9.Web!D"&amp;SUM(18,38*21,9))))</f>
        <v/>
      </c>
      <c r="BF28" s="215" t="str" cm="1">
        <f t="array" aca="1" ref="BF28" ca="1">IF($B28="","",IF(ISBLANK(INDIRECT("R9.Web!D"&amp;SUM(18,38*22,9))),"",INDIRECT("R9.Web!D"&amp;SUM(18,38*22,9))))</f>
        <v/>
      </c>
      <c r="BG28" s="215" t="str" cm="1">
        <f t="array" aca="1" ref="BG28" ca="1">IF($B28="","",IF(ISBLANK(INDIRECT("R9.Web!D"&amp;SUM(18,38*23,9))),"",INDIRECT("R9.Web!D"&amp;SUM(18,38*23,9))))</f>
        <v/>
      </c>
      <c r="BH28" s="215" t="str" cm="1">
        <f t="array" aca="1" ref="BH28" ca="1">IF($B28="","",IF(ISBLANK(INDIRECT("R9.Web!D"&amp;SUM(18,38*24,9))),"",INDIRECT("R9.Web!D"&amp;SUM(18,38*24,9))))</f>
        <v/>
      </c>
      <c r="BI28" s="215" t="str" cm="1">
        <f t="array" aca="1" ref="BI28" ca="1">IF($B28="","",IF(ISBLANK(INDIRECT("R9.Web!D"&amp;SUM(18,38*25,9))),"",INDIRECT("R9.Web!D"&amp;SUM(18,38*25,9))))</f>
        <v/>
      </c>
      <c r="BJ28" s="215" t="str" cm="1">
        <f t="array" aca="1" ref="BJ28" ca="1">IF($B28="","",IF(ISBLANK(INDIRECT("R9.Web!D"&amp;SUM(18,38*26,9))),"",INDIRECT("R9.Web!D"&amp;SUM(18,38*26,9))))</f>
        <v/>
      </c>
      <c r="BK28" s="215" t="str" cm="1">
        <f t="array" aca="1" ref="BK28" ca="1">IF($B28="","",IF(ISBLANK(INDIRECT("R9.Web!D"&amp;SUM(18,38*27,9))),"",INDIRECT("R9.Web!D"&amp;SUM(18,38*27,9))))</f>
        <v/>
      </c>
      <c r="BL28" s="215" t="str" cm="1">
        <f t="array" aca="1" ref="BL28" ca="1">IF($B28="","",IF(ISBLANK(INDIRECT("R9.Web!D"&amp;SUM(18,38*28,9))),"",INDIRECT("R9.Web!D"&amp;SUM(18,38*28,9))))</f>
        <v/>
      </c>
      <c r="BM28" s="215" t="str" cm="1">
        <f t="array" aca="1" ref="BM28" ca="1">IF($B28="","",IF(ISBLANK(INDIRECT("R9.Web!D"&amp;SUM(18,38*29,9))),"",INDIRECT("R9.Web!D"&amp;SUM(18,38*29,9))))</f>
        <v/>
      </c>
      <c r="BN28" s="215" t="str" cm="1">
        <f t="array" aca="1" ref="BN28" ca="1">IF($B28="","",IF(ISBLANK(INDIRECT("R9.Web!D"&amp;SUM(18,38*30,9))),"",INDIRECT("R9.Web!D"&amp;SUM(18,38*30,9))))</f>
        <v/>
      </c>
      <c r="BO28" s="215" t="str" cm="1">
        <f t="array" aca="1" ref="BO28" ca="1">IF($B28="","",IF(ISBLANK(INDIRECT("R9.Web!D"&amp;SUM(18,38*31,9))),"",INDIRECT("R9.Web!D"&amp;SUM(18,38*31,9))))</f>
        <v/>
      </c>
      <c r="BP28" s="215" t="str" cm="1">
        <f t="array" aca="1" ref="BP28" ca="1">IF($B28="","",IF(ISBLANK(INDIRECT("R9.Web!D"&amp;SUM(18,38*32,9))),"",INDIRECT("R9.Web!D"&amp;SUM(18,38*32,9))))</f>
        <v/>
      </c>
      <c r="BQ28" s="215" t="str" cm="1">
        <f t="array" aca="1" ref="BQ28" ca="1">IF($B28="","",IF(ISBLANK(INDIRECT("R9.Web!D"&amp;SUM(18,38*33,9))),"",INDIRECT("R9.Web!D"&amp;SUM(18,38*33,9))))</f>
        <v/>
      </c>
      <c r="BR28" s="215" t="str" cm="1">
        <f t="array" aca="1" ref="BR28" ca="1">IF($B28="","",IF(ISBLANK(INDIRECT("R9.Web!D"&amp;SUM(18,38*34,9))),"",INDIRECT("R9.Web!D"&amp;SUM(18,38*34,9))))</f>
        <v/>
      </c>
      <c r="BS28" s="215" t="str" cm="1">
        <f t="array" aca="1" ref="BS28" ca="1">IF($B28="","",IF(ISBLANK(INDIRECT("R9.Web!D"&amp;SUM(18,38*35,9))),"",INDIRECT("R9.Web!D"&amp;SUM(18,38*35,9))))</f>
        <v/>
      </c>
      <c r="BT28" s="215" t="str" cm="1">
        <f t="array" aca="1" ref="BT28" ca="1">IF($B28="","",IF(ISBLANK(INDIRECT("R9.Web!D"&amp;SUM(18,38*36,9))),"",INDIRECT("R9.Web!D"&amp;SUM(18,38*36,9))))</f>
        <v/>
      </c>
      <c r="BU28" s="215" t="str" cm="1">
        <f t="array" aca="1" ref="BU28" ca="1">IF($B28="","",IF(ISBLANK(INDIRECT("R9.Web!D"&amp;SUM(18,38*37,9))),"",INDIRECT("R9.Web!D"&amp;SUM(18,38*37,9))))</f>
        <v/>
      </c>
      <c r="BV28" s="215" t="str" cm="1">
        <f t="array" aca="1" ref="BV28" ca="1">IF($B28="","",IF(ISBLANK(INDIRECT("R9.Web!D"&amp;SUM(18,38*38,9))),"",INDIRECT("R9.Web!D"&amp;SUM(18,38*38,9))))</f>
        <v/>
      </c>
      <c r="BW28" s="215" t="str" cm="1">
        <f t="array" aca="1" ref="BW28" ca="1">IF($B28="","",IF(ISBLANK(INDIRECT("R9.Web!D"&amp;SUM(18,38*39,9))),"",INDIRECT("R9.Web!D"&amp;SUM(18,38*39,9))))</f>
        <v/>
      </c>
      <c r="BX28" s="215" t="str" cm="1">
        <f t="array" aca="1" ref="BX28" ca="1">IF($B28="","",IF(ISBLANK(INDIRECT("R9.Web!D"&amp;SUM(18,38*40,9))),"",INDIRECT("R9.Web!D"&amp;SUM(18,38*40,9))))</f>
        <v/>
      </c>
      <c r="BY28" s="215" t="str" cm="1">
        <f t="array" aca="1" ref="BY28" ca="1">IF($B28="","",IF(ISBLANK(INDIRECT("R9.Web!D"&amp;SUM(18,38*41,9))),"",INDIRECT("R9.Web!D"&amp;SUM(18,38*41,9))))</f>
        <v/>
      </c>
      <c r="BZ28" s="215" t="str" cm="1">
        <f t="array" aca="1" ref="BZ28" ca="1">IF($B28="","",IF(ISBLANK(INDIRECT("R9.Web!D"&amp;SUM(18,38*42,9))),"",INDIRECT("R9.Web!D"&amp;SUM(18,38*42,9))))</f>
        <v/>
      </c>
      <c r="CA28" s="215" t="str" cm="1">
        <f t="array" aca="1" ref="CA28" ca="1">IF($B28="","",IF(ISBLANK(INDIRECT("R9.Web!D"&amp;SUM(18,38*43,9))),"",INDIRECT("R9.Web!D"&amp;SUM(18,38*43,9))))</f>
        <v/>
      </c>
      <c r="CB28" s="215" t="str" cm="1">
        <f t="array" aca="1" ref="CB28" ca="1">IF($B28="","",IF(ISBLANK(INDIRECT("R9.Web!D"&amp;SUM(18,38*44,9))),"",INDIRECT("R9.Web!D"&amp;SUM(18,38*44,9))))</f>
        <v/>
      </c>
      <c r="CC28" s="215" t="str" cm="1">
        <f t="array" aca="1" ref="CC28" ca="1">IF($B28="","",IF(ISBLANK(INDIRECT("R9.Web!D"&amp;SUM(18,38*45,9))),"",INDIRECT("R9.Web!D"&amp;SUM(18,38*45,9))))</f>
        <v/>
      </c>
      <c r="CD28" s="215" t="str" cm="1">
        <f t="array" aca="1" ref="CD28" ca="1">IF($B28="","",IF(ISBLANK(INDIRECT("R9.Web!D"&amp;SUM(18,38*46,9))),"",INDIRECT("R9.Web!D"&amp;SUM(18,38*46,9))))</f>
        <v/>
      </c>
      <c r="CE28" s="215" t="str" cm="1">
        <f t="array" aca="1" ref="CE28" ca="1">IF($B28="","",IF(ISBLANK(INDIRECT("R9.Web!D"&amp;SUM(18,38*47,9))),"",INDIRECT("R9.Web!D"&amp;SUM(18,38*47,9))))</f>
        <v/>
      </c>
      <c r="CF28" s="215" t="str" cm="1">
        <f t="array" aca="1" ref="CF28" ca="1">IF($B28="","",IF(ISBLANK(INDIRECT("R9.Web!D"&amp;SUM(18,38*48,9))),"",INDIRECT("R9.Web!D"&amp;SUM(18,38*48,9))))</f>
        <v/>
      </c>
      <c r="CG28" s="215" t="str" cm="1">
        <f t="array" aca="1" ref="CG28" ca="1">IF($B28="","",IF(ISBLANK(INDIRECT("R9.Web!D"&amp;SUM(18,38*49,9))),"",INDIRECT("R9.Web!D"&amp;SUM(18,38*49,9))))</f>
        <v/>
      </c>
      <c r="CH28" s="215" t="str" cm="1">
        <f t="array" aca="1" ref="CH28" ca="1">IF($B28="","",IF(ISBLANK(INDIRECT("R11.Software!D"&amp;SUM(18,38*0,9))),"",INDIRECT("R11.Software!D"&amp;SUM(18,38*0,9))))</f>
        <v/>
      </c>
      <c r="CI28" s="215" t="str" cm="1">
        <f t="array" aca="1" ref="CI28" ca="1">IF($B28="","",IF(ISBLANK(INDIRECT("R11.Software!D"&amp;SUM(18,38*1,9))),"",INDIRECT("R11.Software!D"&amp;SUM(18,38*1,9))))</f>
        <v/>
      </c>
      <c r="CJ28" s="215" t="str" cm="1">
        <f t="array" aca="1" ref="CJ28" ca="1">IF($B28="","",IF(ISBLANK(INDIRECT("R11.Software!D"&amp;SUM(18,38*2,9))),"",INDIRECT("R11.Software!D"&amp;SUM(18,38*2,9))))</f>
        <v/>
      </c>
      <c r="CK28" s="215" t="str" cm="1">
        <f t="array" aca="1" ref="CK28" ca="1">IF($B28="","",IF(ISBLANK(INDIRECT("R11.Software!D"&amp;SUM(18,38*3,9))),"",INDIRECT("R11.Software!D"&amp;SUM(18,38*3,9))))</f>
        <v/>
      </c>
      <c r="CL28" s="215" t="str" cm="1">
        <f t="array" aca="1" ref="CL28" ca="1">IF($B28="","",IF(ISBLANK(INDIRECT("R11.Software!D"&amp;SUM(18,38*4,9))),"",INDIRECT("R11.Software!D"&amp;SUM(18,38*4,9))))</f>
        <v/>
      </c>
      <c r="CM28" s="215" t="str" cm="1">
        <f t="array" aca="1" ref="CM28" ca="1">IF($B28="","",IF(ISBLANK(INDIRECT("R11.Software!D"&amp;SUM(18,38*5,9))),"",INDIRECT("R11.Software!D"&amp;SUM(18,38*5,9))))</f>
        <v/>
      </c>
      <c r="CN28" s="215" t="str" cm="1">
        <f t="array" aca="1" ref="CN28" ca="1">IF($B28="","",IF(ISBLANK(INDIRECT("R12.ServiciosApoyo!D"&amp;SUM(18,38*0,9))),"",INDIRECT("R12.ServiciosApoyo!D"&amp;SUM(18,38*0,9))))</f>
        <v/>
      </c>
      <c r="CO28" s="215" t="str" cm="1">
        <f t="array" aca="1" ref="CO28" ca="1">IF($B28="","",IF(ISBLANK(INDIRECT("R12.ServiciosApoyo!D"&amp;SUM(18,38*1,9))),"",INDIRECT("R12.ServiciosApoyo!D"&amp;SUM(18,38*1,9))))</f>
        <v/>
      </c>
      <c r="CP28" s="215" t="str" cm="1">
        <f t="array" aca="1" ref="CP28" ca="1">IF($B28="","",IF(ISBLANK(INDIRECT("R12.ServiciosApoyo!D"&amp;SUM(18,38*2,9))),"",INDIRECT("R12.ServiciosApoyo!D"&amp;SUM(18,38*2,9))))</f>
        <v/>
      </c>
      <c r="CQ28" s="215" t="str" cm="1">
        <f t="array" aca="1" ref="CQ28" ca="1">IF($B28="","",IF(ISBLANK(INDIRECT("R12.ServiciosApoyo!D"&amp;SUM(18,38*3,9))),"",INDIRECT("R12.ServiciosApoyo!D"&amp;SUM(18,38*3,9))))</f>
        <v/>
      </c>
      <c r="CR28" s="215" t="str" cm="1">
        <f t="array" aca="1" ref="CR28" ca="1">IF($B28="","",IF(ISBLANK(INDIRECT("R12.ServiciosApoyo!D"&amp;SUM(18,38*4,9))),"",INDIRECT("R12.ServiciosApoyo!D"&amp;SUM(18,38*4,9))))</f>
        <v/>
      </c>
      <c r="CU28" s="100"/>
      <c r="CV28" s="29"/>
      <c r="CW28" s="29"/>
      <c r="CX28" s="29"/>
    </row>
    <row r="29" spans="2:102" ht="20.5">
      <c r="B29" s="181" t="str" cm="1">
        <f t="array" ref="B29">IFERROR(INDEX('03.Muestra'!$B$8:$B$42,SMALL(IF("Página Web"='03.Muestra'!$D$8:$D$42,ROW('03.Muestra'!$B$8:$B$42)-MIN(ROW('03.Muestra'!$D$8:$D$42))+1,""),ROW()-19)),"")</f>
        <v/>
      </c>
      <c r="C29" s="97" t="str" cm="1">
        <f t="array" ref="C29">IFERROR(INDEX('03.Muestra'!$C$8:$C$42,SMALL(IF("Página Web"='03.Muestra'!$D$8:$D$42,ROW('03.Muestra'!$C$8:$C$42)-MIN(ROW('03.Muestra'!$D$8:$D$42))+1,""),ROW()-19)),"")</f>
        <v/>
      </c>
      <c r="D29" s="98" t="str" cm="1">
        <f t="array" ref="D29">IFERROR(INDEX('03.Muestra'!$F$8:$F$42,SMALL(IF("Página Web"='03.Muestra'!$D$8:$D$42,ROW('03.Muestra'!$F$8:$F$42)-MIN(ROW('03.Muestra'!$D$8:$D$42))+1,""),ROW()-19)),"")</f>
        <v/>
      </c>
      <c r="E29" s="215" t="str" cm="1">
        <f t="array" aca="1" ref="E29" ca="1">IF($B29="","",IF(ISBLANK(INDIRECT("R5.Genéricos!D"&amp;SUM(18,38*0,10))),"",INDIRECT("R5.Genéricos!D"&amp;SUM(18,38*0,10))))</f>
        <v/>
      </c>
      <c r="F29" s="215" t="str" cm="1">
        <f t="array" aca="1" ref="F29" ca="1">IF($B29="","",IF(ISBLANK(INDIRECT("R5.Genéricos!D"&amp;SUM(18,38*1,10))),"",INDIRECT("R5.Genéricos!D"&amp;SUM(18,38*1,10))))</f>
        <v/>
      </c>
      <c r="G29" s="215" t="str" cm="1">
        <f t="array" aca="1" ref="G29" ca="1">IF($B29="","",IF(ISBLANK(INDIRECT("R5.Genéricos!D"&amp;SUM(18,38*2,10))),"",INDIRECT("R5.Genéricos!D"&amp;SUM(18,38*2,10))))</f>
        <v/>
      </c>
      <c r="H29" s="215" t="str" cm="1">
        <f t="array" aca="1" ref="H29" ca="1">IF($B29="","",IF(ISBLANK(INDIRECT("R6.Voz!D"&amp;SUM(18,38*0,10))),"",INDIRECT("R6.Voz!D"&amp;SUM(18,38*0,10))))</f>
        <v/>
      </c>
      <c r="I29" s="215" t="str" cm="1">
        <f t="array" aca="1" ref="I29" ca="1">IF($B29="","",IF(ISBLANK(INDIRECT("R6.Voz!D"&amp;SUM(18,38*1,10))),"",INDIRECT("R6.Voz!D"&amp;SUM(18,38*1,10))))</f>
        <v/>
      </c>
      <c r="J29" s="215" t="str" cm="1">
        <f t="array" aca="1" ref="J29" ca="1">IF($B29="","",IF(ISBLANK(INDIRECT("R6.Voz!D"&amp;SUM(18,38*2,10))),"",INDIRECT("R6.Voz!D"&amp;SUM(18,38*2,10))))</f>
        <v/>
      </c>
      <c r="K29" s="215" t="str" cm="1">
        <f t="array" aca="1" ref="K29" ca="1">IF($B29="","",IF(ISBLANK(INDIRECT("R6.Voz!D"&amp;SUM(18,38*3,10))),"",INDIRECT("R6.Voz!D"&amp;SUM(18,38*3,10))))</f>
        <v/>
      </c>
      <c r="L29" s="215" t="str" cm="1">
        <f t="array" aca="1" ref="L29" ca="1">IF($B29="","",IF(ISBLANK(INDIRECT("R6.Voz!D"&amp;SUM(18,38*4,10))),"",INDIRECT("R6.Voz!D"&amp;SUM(18,38*4,10))))</f>
        <v/>
      </c>
      <c r="M29" s="215" t="str" cm="1">
        <f t="array" aca="1" ref="M29" ca="1">IF($B29="","",IF(ISBLANK(INDIRECT("R6.Voz!D"&amp;SUM(18,38*5,10))),"",INDIRECT("R6.Voz!D"&amp;SUM(18,38*5,10))))</f>
        <v/>
      </c>
      <c r="N29" s="215" t="str" cm="1">
        <f t="array" aca="1" ref="N29" ca="1">IF($B29="","",IF(ISBLANK(INDIRECT("R6.Voz!D"&amp;SUM(18,38*6,10))),"",INDIRECT("R6.Voz!D"&amp;SUM(18,38*6,10))))</f>
        <v/>
      </c>
      <c r="O29" s="215" t="str" cm="1">
        <f t="array" aca="1" ref="O29" ca="1">IF($B29="","",IF(ISBLANK(INDIRECT("R6.Voz!D"&amp;SUM(18,38*7,10))),"",INDIRECT("R6.Voz!D"&amp;SUM(18,38*7,10))))</f>
        <v/>
      </c>
      <c r="P29" s="215" t="str" cm="1">
        <f t="array" aca="1" ref="P29" ca="1">IF($B29="","",IF(ISBLANK(INDIRECT("R6.Voz!D"&amp;SUM(18,38*8,10))),"",INDIRECT("R6.Voz!D"&amp;SUM(18,38*8,10))))</f>
        <v/>
      </c>
      <c r="Q29" s="215" t="str" cm="1">
        <f t="array" aca="1" ref="Q29" ca="1">IF($B29="","",IF(ISBLANK(INDIRECT("R6.Voz!D"&amp;SUM(18,38*9,10))),"",INDIRECT("R6.Voz!D"&amp;SUM(18,38*9,10))))</f>
        <v/>
      </c>
      <c r="R29" s="215" t="str" cm="1">
        <f t="array" aca="1" ref="R29" ca="1">IF($B29="","",IF(ISBLANK(INDIRECT("R6.Voz!D"&amp;SUM(18,38*10,10))),"",INDIRECT("R6.Voz!D"&amp;SUM(18,38*10,10))))</f>
        <v/>
      </c>
      <c r="S29" s="215" t="str" cm="1">
        <f t="array" aca="1" ref="S29" ca="1">IF($B29="","",IF(ISBLANK(INDIRECT("R6.Voz!D"&amp;SUM(18,38*11,10))),"",INDIRECT("R6.Voz!D"&amp;SUM(18,38*11,10))))</f>
        <v/>
      </c>
      <c r="T29" s="215" t="str" cm="1">
        <f t="array" aca="1" ref="T29" ca="1">IF($B29="","",IF(ISBLANK(INDIRECT("R6.Voz!D"&amp;SUM(18,38*12,10))),"",INDIRECT("R6.Voz!D"&amp;SUM(18,38*12,10))))</f>
        <v/>
      </c>
      <c r="U29" s="215" t="str" cm="1">
        <f t="array" aca="1" ref="U29" ca="1">IF($B29="","",IF(ISBLANK(INDIRECT("R6.Voz!D"&amp;SUM(18,38*13,10))),"",INDIRECT("R6.Voz!D"&amp;SUM(18,38*13,10))))</f>
        <v/>
      </c>
      <c r="V29" s="215" t="str" cm="1">
        <f t="array" aca="1" ref="V29" ca="1">IF($B29="","",IF(ISBLANK(INDIRECT("R6.Voz!D"&amp;SUM(18,38*14,10))),"",INDIRECT("R6.Voz!D"&amp;SUM(18,38*14,10))))</f>
        <v/>
      </c>
      <c r="W29" s="215" t="str" cm="1">
        <f t="array" aca="1" ref="W29" ca="1">IF($B29="","",IF(ISBLANK(INDIRECT("R6.Voz!D"&amp;SUM(18,38*15,10))),"",INDIRECT("R6.Voz!D"&amp;SUM(18,38*15,10))))</f>
        <v/>
      </c>
      <c r="X29" s="215" t="str" cm="1">
        <f t="array" aca="1" ref="X29" ca="1">IF($B29="","",IF(ISBLANK(INDIRECT("R6.Voz!D"&amp;SUM(18,38*16,10))),"",INDIRECT("R6.Voz!D"&amp;SUM(18,38*16,10))))</f>
        <v/>
      </c>
      <c r="Y29" s="215" t="str" cm="1">
        <f t="array" aca="1" ref="Y29" ca="1">IF($B29="","",IF(ISBLANK(INDIRECT("R6.Voz!D"&amp;SUM(18,38*17,10))),"",INDIRECT("R6.Voz!D"&amp;SUM(18,38*17,10))))</f>
        <v/>
      </c>
      <c r="Z29" s="215" t="str" cm="1">
        <f t="array" aca="1" ref="Z29" ca="1">IF($B29="","",IF(ISBLANK(INDIRECT("R6.Voz!D"&amp;SUM(18,38*18,10))),"",INDIRECT("R6.Voz!D"&amp;SUM(18,38*18,10))))</f>
        <v/>
      </c>
      <c r="AA29" s="215" t="str" cm="1">
        <f t="array" aca="1" ref="AA29" ca="1">IF($B29="","",IF(ISBLANK(INDIRECT("R7.Video!D"&amp;SUM(18,38*0,10))),"",INDIRECT("R7.Video!D"&amp;SUM(18,38*0,10))))</f>
        <v/>
      </c>
      <c r="AB29" s="215" t="str" cm="1">
        <f t="array" aca="1" ref="AB29" ca="1">IF($B29="","",IF(ISBLANK(INDIRECT("R7.Video!D"&amp;SUM(18,38*1,10))),"",INDIRECT("R7.Video!D"&amp;SUM(18,38*1,10))))</f>
        <v/>
      </c>
      <c r="AC29" s="215" t="str" cm="1">
        <f t="array" aca="1" ref="AC29" ca="1">IF($B29="","",IF(ISBLANK(INDIRECT("R7.Video!D"&amp;SUM(18,38*2,10))),"",INDIRECT("R7.Video!D"&amp;SUM(18,38*2,10))))</f>
        <v/>
      </c>
      <c r="AD29" s="215" t="str" cm="1">
        <f t="array" aca="1" ref="AD29" ca="1">IF($B29="","",IF(ISBLANK(INDIRECT("R7.Video!D"&amp;SUM(18,38*3,10))),"",INDIRECT("R7.Video!D"&amp;SUM(18,38*3,10))))</f>
        <v/>
      </c>
      <c r="AE29" s="215" t="str" cm="1">
        <f t="array" aca="1" ref="AE29" ca="1">IF($B29="","",IF(ISBLANK(INDIRECT("R7.Video!D"&amp;SUM(18,38*4,10))),"",INDIRECT("R7.Video!D"&amp;SUM(18,38*4,10))))</f>
        <v/>
      </c>
      <c r="AF29" s="215" t="str" cm="1">
        <f t="array" aca="1" ref="AF29" ca="1">IF($B29="","",IF(ISBLANK(INDIRECT("R7.Video!D"&amp;SUM(18,38*5,10))),"",INDIRECT("R7.Video!D"&amp;SUM(18,38*5,10))))</f>
        <v/>
      </c>
      <c r="AG29" s="215" t="str" cm="1">
        <f t="array" aca="1" ref="AG29" ca="1">IF($B29="","",IF(ISBLANK(INDIRECT("R7.Video!D"&amp;SUM(18,38*6,10))),"",INDIRECT("R7.Video!D"&amp;SUM(18,38*6,10))))</f>
        <v/>
      </c>
      <c r="AH29" s="215" t="str" cm="1">
        <f t="array" aca="1" ref="AH29" ca="1">IF($B29="","",IF(ISBLANK(INDIRECT("R7.Video!D"&amp;SUM(18,38*7,10))),"",INDIRECT("R7.Video!D"&amp;SUM(18,38*7,10))))</f>
        <v/>
      </c>
      <c r="AI29" s="215" t="str" cm="1">
        <f t="array" aca="1" ref="AI29" ca="1">IF($B29="","",IF(ISBLANK(INDIRECT("R7.Video!D"&amp;SUM(18,38*8,10))),"",INDIRECT("R7.Video!D"&amp;SUM(18,38*8,10))))</f>
        <v/>
      </c>
      <c r="AJ29" s="215" t="str" cm="1">
        <f t="array" aca="1" ref="AJ29" ca="1">IF($B29="","",IF(ISBLANK(INDIRECT("R9.Web!D"&amp;SUM(18,38*0,10))),"",INDIRECT("R9.Web!D"&amp;SUM(18,38*0,10))))</f>
        <v/>
      </c>
      <c r="AK29" s="215" t="str" cm="1">
        <f t="array" aca="1" ref="AK29" ca="1">IF($B29="","",IF(ISBLANK(INDIRECT("R9.Web!D"&amp;SUM(18,38*1,10))),"",INDIRECT("R9.Web!D"&amp;SUM(18,38*1,10))))</f>
        <v/>
      </c>
      <c r="AL29" s="215" t="str" cm="1">
        <f t="array" aca="1" ref="AL29" ca="1">IF($B29="","",IF(ISBLANK(INDIRECT("R9.Web!D"&amp;SUM(18,38*2,10))),"",INDIRECT("R9.Web!D"&amp;SUM(18,38*2,10))))</f>
        <v/>
      </c>
      <c r="AM29" s="215" t="str" cm="1">
        <f t="array" aca="1" ref="AM29" ca="1">IF($B29="","",IF(ISBLANK(INDIRECT("R9.Web!D"&amp;SUM(18,38*3,10))),"",INDIRECT("R9.Web!D"&amp;SUM(18,38*3,10))))</f>
        <v/>
      </c>
      <c r="AN29" s="215" t="str" cm="1">
        <f t="array" aca="1" ref="AN29" ca="1">IF($B29="","",IF(ISBLANK(INDIRECT("R9.Web!D"&amp;SUM(18,38*4,10))),"",INDIRECT("R9.Web!D"&amp;SUM(18,38*4,10))))</f>
        <v/>
      </c>
      <c r="AO29" s="215" t="str" cm="1">
        <f t="array" aca="1" ref="AO29" ca="1">IF($B29="","",IF(ISBLANK(INDIRECT("R9.Web!D"&amp;SUM(18,38*5,10))),"",INDIRECT("R9.Web!D"&amp;SUM(18,38*5,10))))</f>
        <v/>
      </c>
      <c r="AP29" s="215" t="str" cm="1">
        <f t="array" aca="1" ref="AP29" ca="1">IF($B29="","",IF(ISBLANK(INDIRECT("R9.Web!D"&amp;SUM(18,38*6,10))),"",INDIRECT("R9.Web!D"&amp;SUM(18,38*6,10))))</f>
        <v/>
      </c>
      <c r="AQ29" s="215" t="str" cm="1">
        <f t="array" aca="1" ref="AQ29" ca="1">IF($B29="","",IF(ISBLANK(INDIRECT("R9.Web!D"&amp;SUM(18,38*7,10))),"",INDIRECT("R9.Web!D"&amp;SUM(18,38*7,10))))</f>
        <v/>
      </c>
      <c r="AR29" s="215" t="str" cm="1">
        <f t="array" aca="1" ref="AR29" ca="1">IF($B29="","",IF(ISBLANK(INDIRECT("R9.Web!D"&amp;SUM(18,38*8,10))),"",INDIRECT("R9.Web!D"&amp;SUM(18,38*8,10))))</f>
        <v/>
      </c>
      <c r="AS29" s="215" t="str" cm="1">
        <f t="array" aca="1" ref="AS29" ca="1">IF($B29="","",IF(ISBLANK(INDIRECT("R9.Web!D"&amp;SUM(18,38*9,10))),"",INDIRECT("R9.Web!D"&amp;SUM(18,38*9,10))))</f>
        <v/>
      </c>
      <c r="AT29" s="215" t="str" cm="1">
        <f t="array" aca="1" ref="AT29" ca="1">IF($B29="","",IF(ISBLANK(INDIRECT("R9.Web!D"&amp;SUM(18,38*10,10))),"",INDIRECT("R9.Web!D"&amp;SUM(18,38*10,10))))</f>
        <v/>
      </c>
      <c r="AU29" s="215" t="str" cm="1">
        <f t="array" aca="1" ref="AU29" ca="1">IF($B29="","",IF(ISBLANK(INDIRECT("R9.Web!D"&amp;SUM(18,38*11,10))),"",INDIRECT("R9.Web!D"&amp;SUM(18,38*11,10))))</f>
        <v/>
      </c>
      <c r="AV29" s="215" t="str" cm="1">
        <f t="array" aca="1" ref="AV29" ca="1">IF($B29="","",IF(ISBLANK(INDIRECT("R9.Web!D"&amp;SUM(18,38*12,10))),"",INDIRECT("R9.Web!D"&amp;SUM(18,38*12,10))))</f>
        <v/>
      </c>
      <c r="AW29" s="215" t="str" cm="1">
        <f t="array" aca="1" ref="AW29" ca="1">IF($B29="","",IF(ISBLANK(INDIRECT("R9.Web!D"&amp;SUM(18,38*13,10))),"",INDIRECT("R9.Web!D"&amp;SUM(18,38*13,10))))</f>
        <v/>
      </c>
      <c r="AX29" s="215" t="str" cm="1">
        <f t="array" aca="1" ref="AX29" ca="1">IF($B29="","",IF(ISBLANK(INDIRECT("R9.Web!D"&amp;SUM(18,38*14,10))),"",INDIRECT("R9.Web!D"&amp;SUM(18,38*14,10))))</f>
        <v/>
      </c>
      <c r="AY29" s="215" t="str" cm="1">
        <f t="array" aca="1" ref="AY29" ca="1">IF($B29="","",IF(ISBLANK(INDIRECT("R9.Web!D"&amp;SUM(18,38*15,10))),"",INDIRECT("R9.Web!D"&amp;SUM(18,38*15,10))))</f>
        <v/>
      </c>
      <c r="AZ29" s="215" t="str" cm="1">
        <f t="array" aca="1" ref="AZ29" ca="1">IF($B29="","",IF(ISBLANK(INDIRECT("R9.Web!D"&amp;SUM(18,38*16,10))),"",INDIRECT("R9.Web!D"&amp;SUM(18,38*16,10))))</f>
        <v/>
      </c>
      <c r="BA29" s="215" t="str" cm="1">
        <f t="array" aca="1" ref="BA29" ca="1">IF($B29="","",IF(ISBLANK(INDIRECT("R9.Web!D"&amp;SUM(18,38*17,10))),"",INDIRECT("R9.Web!D"&amp;SUM(18,38*17,10))))</f>
        <v/>
      </c>
      <c r="BB29" s="215" t="str" cm="1">
        <f t="array" aca="1" ref="BB29" ca="1">IF($B29="","",IF(ISBLANK(INDIRECT("R9.Web!D"&amp;SUM(18,38*18,10))),"",INDIRECT("R9.Web!D"&amp;SUM(18,38*18,10))))</f>
        <v/>
      </c>
      <c r="BC29" s="215" t="str" cm="1">
        <f t="array" aca="1" ref="BC29" ca="1">IF($B29="","",IF(ISBLANK(INDIRECT("R9.Web!D"&amp;SUM(18,38*19,10))),"",INDIRECT("R9.Web!D"&amp;SUM(18,38*19,10))))</f>
        <v/>
      </c>
      <c r="BD29" s="215" t="str" cm="1">
        <f t="array" aca="1" ref="BD29" ca="1">IF($B29="","",IF(ISBLANK(INDIRECT("R9.Web!D"&amp;SUM(18,38*20,10))),"",INDIRECT("R9.Web!D"&amp;SUM(18,38*20,10))))</f>
        <v/>
      </c>
      <c r="BE29" s="215" t="str" cm="1">
        <f t="array" aca="1" ref="BE29" ca="1">IF($B29="","",IF(ISBLANK(INDIRECT("R9.Web!D"&amp;SUM(18,38*21,10))),"",INDIRECT("R9.Web!D"&amp;SUM(18,38*21,10))))</f>
        <v/>
      </c>
      <c r="BF29" s="215" t="str" cm="1">
        <f t="array" aca="1" ref="BF29" ca="1">IF($B29="","",IF(ISBLANK(INDIRECT("R9.Web!D"&amp;SUM(18,38*22,10))),"",INDIRECT("R9.Web!D"&amp;SUM(18,38*22,10))))</f>
        <v/>
      </c>
      <c r="BG29" s="215" t="str" cm="1">
        <f t="array" aca="1" ref="BG29" ca="1">IF($B29="","",IF(ISBLANK(INDIRECT("R9.Web!D"&amp;SUM(18,38*23,10))),"",INDIRECT("R9.Web!D"&amp;SUM(18,38*23,10))))</f>
        <v/>
      </c>
      <c r="BH29" s="215" t="str" cm="1">
        <f t="array" aca="1" ref="BH29" ca="1">IF($B29="","",IF(ISBLANK(INDIRECT("R9.Web!D"&amp;SUM(18,38*24,10))),"",INDIRECT("R9.Web!D"&amp;SUM(18,38*24,10))))</f>
        <v/>
      </c>
      <c r="BI29" s="215" t="str" cm="1">
        <f t="array" aca="1" ref="BI29" ca="1">IF($B29="","",IF(ISBLANK(INDIRECT("R9.Web!D"&amp;SUM(18,38*25,10))),"",INDIRECT("R9.Web!D"&amp;SUM(18,38*25,10))))</f>
        <v/>
      </c>
      <c r="BJ29" s="215" t="str" cm="1">
        <f t="array" aca="1" ref="BJ29" ca="1">IF($B29="","",IF(ISBLANK(INDIRECT("R9.Web!D"&amp;SUM(18,38*26,10))),"",INDIRECT("R9.Web!D"&amp;SUM(18,38*26,10))))</f>
        <v/>
      </c>
      <c r="BK29" s="215" t="str" cm="1">
        <f t="array" aca="1" ref="BK29" ca="1">IF($B29="","",IF(ISBLANK(INDIRECT("R9.Web!D"&amp;SUM(18,38*27,10))),"",INDIRECT("R9.Web!D"&amp;SUM(18,38*27,10))))</f>
        <v/>
      </c>
      <c r="BL29" s="215" t="str" cm="1">
        <f t="array" aca="1" ref="BL29" ca="1">IF($B29="","",IF(ISBLANK(INDIRECT("R9.Web!D"&amp;SUM(18,38*28,10))),"",INDIRECT("R9.Web!D"&amp;SUM(18,38*28,10))))</f>
        <v/>
      </c>
      <c r="BM29" s="215" t="str" cm="1">
        <f t="array" aca="1" ref="BM29" ca="1">IF($B29="","",IF(ISBLANK(INDIRECT("R9.Web!D"&amp;SUM(18,38*29,10))),"",INDIRECT("R9.Web!D"&amp;SUM(18,38*29,10))))</f>
        <v/>
      </c>
      <c r="BN29" s="215" t="str" cm="1">
        <f t="array" aca="1" ref="BN29" ca="1">IF($B29="","",IF(ISBLANK(INDIRECT("R9.Web!D"&amp;SUM(18,38*30,10))),"",INDIRECT("R9.Web!D"&amp;SUM(18,38*30,10))))</f>
        <v/>
      </c>
      <c r="BO29" s="215" t="str" cm="1">
        <f t="array" aca="1" ref="BO29" ca="1">IF($B29="","",IF(ISBLANK(INDIRECT("R9.Web!D"&amp;SUM(18,38*31,10))),"",INDIRECT("R9.Web!D"&amp;SUM(18,38*31,10))))</f>
        <v/>
      </c>
      <c r="BP29" s="215" t="str" cm="1">
        <f t="array" aca="1" ref="BP29" ca="1">IF($B29="","",IF(ISBLANK(INDIRECT("R9.Web!D"&amp;SUM(18,38*32,10))),"",INDIRECT("R9.Web!D"&amp;SUM(18,38*32,10))))</f>
        <v/>
      </c>
      <c r="BQ29" s="215" t="str" cm="1">
        <f t="array" aca="1" ref="BQ29" ca="1">IF($B29="","",IF(ISBLANK(INDIRECT("R9.Web!D"&amp;SUM(18,38*33,10))),"",INDIRECT("R9.Web!D"&amp;SUM(18,38*33,10))))</f>
        <v/>
      </c>
      <c r="BR29" s="215" t="str" cm="1">
        <f t="array" aca="1" ref="BR29" ca="1">IF($B29="","",IF(ISBLANK(INDIRECT("R9.Web!D"&amp;SUM(18,38*34,10))),"",INDIRECT("R9.Web!D"&amp;SUM(18,38*34,10))))</f>
        <v/>
      </c>
      <c r="BS29" s="215" t="str" cm="1">
        <f t="array" aca="1" ref="BS29" ca="1">IF($B29="","",IF(ISBLANK(INDIRECT("R9.Web!D"&amp;SUM(18,38*35,10))),"",INDIRECT("R9.Web!D"&amp;SUM(18,38*35,10))))</f>
        <v/>
      </c>
      <c r="BT29" s="215" t="str" cm="1">
        <f t="array" aca="1" ref="BT29" ca="1">IF($B29="","",IF(ISBLANK(INDIRECT("R9.Web!D"&amp;SUM(18,38*36,10))),"",INDIRECT("R9.Web!D"&amp;SUM(18,38*36,10))))</f>
        <v/>
      </c>
      <c r="BU29" s="215" t="str" cm="1">
        <f t="array" aca="1" ref="BU29" ca="1">IF($B29="","",IF(ISBLANK(INDIRECT("R9.Web!D"&amp;SUM(18,38*37,10))),"",INDIRECT("R9.Web!D"&amp;SUM(18,38*37,10))))</f>
        <v/>
      </c>
      <c r="BV29" s="215" t="str" cm="1">
        <f t="array" aca="1" ref="BV29" ca="1">IF($B29="","",IF(ISBLANK(INDIRECT("R9.Web!D"&amp;SUM(18,38*38,10))),"",INDIRECT("R9.Web!D"&amp;SUM(18,38*38,10))))</f>
        <v/>
      </c>
      <c r="BW29" s="215" t="str" cm="1">
        <f t="array" aca="1" ref="BW29" ca="1">IF($B29="","",IF(ISBLANK(INDIRECT("R9.Web!D"&amp;SUM(18,38*39,10))),"",INDIRECT("R9.Web!D"&amp;SUM(18,38*39,10))))</f>
        <v/>
      </c>
      <c r="BX29" s="215" t="str" cm="1">
        <f t="array" aca="1" ref="BX29" ca="1">IF($B29="","",IF(ISBLANK(INDIRECT("R9.Web!D"&amp;SUM(18,38*40,10))),"",INDIRECT("R9.Web!D"&amp;SUM(18,38*40,10))))</f>
        <v/>
      </c>
      <c r="BY29" s="215" t="str" cm="1">
        <f t="array" aca="1" ref="BY29" ca="1">IF($B29="","",IF(ISBLANK(INDIRECT("R9.Web!D"&amp;SUM(18,38*41,10))),"",INDIRECT("R9.Web!D"&amp;SUM(18,38*41,10))))</f>
        <v/>
      </c>
      <c r="BZ29" s="215" t="str" cm="1">
        <f t="array" aca="1" ref="BZ29" ca="1">IF($B29="","",IF(ISBLANK(INDIRECT("R9.Web!D"&amp;SUM(18,38*42,10))),"",INDIRECT("R9.Web!D"&amp;SUM(18,38*42,10))))</f>
        <v/>
      </c>
      <c r="CA29" s="215" t="str" cm="1">
        <f t="array" aca="1" ref="CA29" ca="1">IF($B29="","",IF(ISBLANK(INDIRECT("R9.Web!D"&amp;SUM(18,38*43,10))),"",INDIRECT("R9.Web!D"&amp;SUM(18,38*43,10))))</f>
        <v/>
      </c>
      <c r="CB29" s="215" t="str" cm="1">
        <f t="array" aca="1" ref="CB29" ca="1">IF($B29="","",IF(ISBLANK(INDIRECT("R9.Web!D"&amp;SUM(18,38*44,10))),"",INDIRECT("R9.Web!D"&amp;SUM(18,38*44,10))))</f>
        <v/>
      </c>
      <c r="CC29" s="215" t="str" cm="1">
        <f t="array" aca="1" ref="CC29" ca="1">IF($B29="","",IF(ISBLANK(INDIRECT("R9.Web!D"&amp;SUM(18,38*45,10))),"",INDIRECT("R9.Web!D"&amp;SUM(18,38*45,10))))</f>
        <v/>
      </c>
      <c r="CD29" s="215" t="str" cm="1">
        <f t="array" aca="1" ref="CD29" ca="1">IF($B29="","",IF(ISBLANK(INDIRECT("R9.Web!D"&amp;SUM(18,38*46,10))),"",INDIRECT("R9.Web!D"&amp;SUM(18,38*46,10))))</f>
        <v/>
      </c>
      <c r="CE29" s="215" t="str" cm="1">
        <f t="array" aca="1" ref="CE29" ca="1">IF($B29="","",IF(ISBLANK(INDIRECT("R9.Web!D"&amp;SUM(18,38*47,10))),"",INDIRECT("R9.Web!D"&amp;SUM(18,38*47,10))))</f>
        <v/>
      </c>
      <c r="CF29" s="215" t="str" cm="1">
        <f t="array" aca="1" ref="CF29" ca="1">IF($B29="","",IF(ISBLANK(INDIRECT("R9.Web!D"&amp;SUM(18,38*48,10))),"",INDIRECT("R9.Web!D"&amp;SUM(18,38*48,10))))</f>
        <v/>
      </c>
      <c r="CG29" s="215" t="str" cm="1">
        <f t="array" aca="1" ref="CG29" ca="1">IF($B29="","",IF(ISBLANK(INDIRECT("R9.Web!D"&amp;SUM(18,38*49,10))),"",INDIRECT("R9.Web!D"&amp;SUM(18,38*49,10))))</f>
        <v/>
      </c>
      <c r="CH29" s="215" t="str" cm="1">
        <f t="array" aca="1" ref="CH29" ca="1">IF($B29="","",IF(ISBLANK(INDIRECT("R11.Software!D"&amp;SUM(18,38*0,10))),"",INDIRECT("R11.Software!D"&amp;SUM(18,38*0,10))))</f>
        <v/>
      </c>
      <c r="CI29" s="215" t="str" cm="1">
        <f t="array" aca="1" ref="CI29" ca="1">IF($B29="","",IF(ISBLANK(INDIRECT("R11.Software!D"&amp;SUM(18,38*1,10))),"",INDIRECT("R11.Software!D"&amp;SUM(18,38*1,10))))</f>
        <v/>
      </c>
      <c r="CJ29" s="215" t="str" cm="1">
        <f t="array" aca="1" ref="CJ29" ca="1">IF($B29="","",IF(ISBLANK(INDIRECT("R11.Software!D"&amp;SUM(18,38*2,10))),"",INDIRECT("R11.Software!D"&amp;SUM(18,38*2,10))))</f>
        <v/>
      </c>
      <c r="CK29" s="215" t="str" cm="1">
        <f t="array" aca="1" ref="CK29" ca="1">IF($B29="","",IF(ISBLANK(INDIRECT("R11.Software!D"&amp;SUM(18,38*3,10))),"",INDIRECT("R11.Software!D"&amp;SUM(18,38*3,10))))</f>
        <v/>
      </c>
      <c r="CL29" s="215" t="str" cm="1">
        <f t="array" aca="1" ref="CL29" ca="1">IF($B29="","",IF(ISBLANK(INDIRECT("R11.Software!D"&amp;SUM(18,38*4,10))),"",INDIRECT("R11.Software!D"&amp;SUM(18,38*4,10))))</f>
        <v/>
      </c>
      <c r="CM29" s="215" t="str" cm="1">
        <f t="array" aca="1" ref="CM29" ca="1">IF($B29="","",IF(ISBLANK(INDIRECT("R11.Software!D"&amp;SUM(18,38*5,10))),"",INDIRECT("R11.Software!D"&amp;SUM(18,38*5,10))))</f>
        <v/>
      </c>
      <c r="CN29" s="215" t="str" cm="1">
        <f t="array" aca="1" ref="CN29" ca="1">IF($B29="","",IF(ISBLANK(INDIRECT("R12.ServiciosApoyo!D"&amp;SUM(18,38*0,10))),"",INDIRECT("R12.ServiciosApoyo!D"&amp;SUM(18,38*0,10))))</f>
        <v/>
      </c>
      <c r="CO29" s="215" t="str" cm="1">
        <f t="array" aca="1" ref="CO29" ca="1">IF($B29="","",IF(ISBLANK(INDIRECT("R12.ServiciosApoyo!D"&amp;SUM(18,38*1,10))),"",INDIRECT("R12.ServiciosApoyo!D"&amp;SUM(18,38*1,10))))</f>
        <v/>
      </c>
      <c r="CP29" s="215" t="str" cm="1">
        <f t="array" aca="1" ref="CP29" ca="1">IF($B29="","",IF(ISBLANK(INDIRECT("R12.ServiciosApoyo!D"&amp;SUM(18,38*2,10))),"",INDIRECT("R12.ServiciosApoyo!D"&amp;SUM(18,38*2,10))))</f>
        <v/>
      </c>
      <c r="CQ29" s="215" t="str" cm="1">
        <f t="array" aca="1" ref="CQ29" ca="1">IF($B29="","",IF(ISBLANK(INDIRECT("R12.ServiciosApoyo!D"&amp;SUM(18,38*3,10))),"",INDIRECT("R12.ServiciosApoyo!D"&amp;SUM(18,38*3,10))))</f>
        <v/>
      </c>
      <c r="CR29" s="215" t="str" cm="1">
        <f t="array" aca="1" ref="CR29" ca="1">IF($B29="","",IF(ISBLANK(INDIRECT("R12.ServiciosApoyo!D"&amp;SUM(18,38*4,10))),"",INDIRECT("R12.ServiciosApoyo!D"&amp;SUM(18,38*4,10))))</f>
        <v/>
      </c>
      <c r="CU29" s="100"/>
      <c r="CV29" s="29"/>
      <c r="CW29" s="29"/>
      <c r="CX29" s="29"/>
    </row>
    <row r="30" spans="2:102" ht="20.5">
      <c r="B30" s="181" t="str" cm="1">
        <f t="array" ref="B30">IFERROR(INDEX('03.Muestra'!$B$8:$B$42,SMALL(IF("Página Web"='03.Muestra'!$D$8:$D$42,ROW('03.Muestra'!$B$8:$B$42)-MIN(ROW('03.Muestra'!$D$8:$D$42))+1,""),ROW()-19)),"")</f>
        <v/>
      </c>
      <c r="C30" s="97" t="str" cm="1">
        <f t="array" ref="C30">IFERROR(INDEX('03.Muestra'!$C$8:$C$42,SMALL(IF("Página Web"='03.Muestra'!$D$8:$D$42,ROW('03.Muestra'!$C$8:$C$42)-MIN(ROW('03.Muestra'!$D$8:$D$42))+1,""),ROW()-19)),"")</f>
        <v/>
      </c>
      <c r="D30" s="98" t="str" cm="1">
        <f t="array" ref="D30">IFERROR(INDEX('03.Muestra'!$F$8:$F$42,SMALL(IF("Página Web"='03.Muestra'!$D$8:$D$42,ROW('03.Muestra'!$F$8:$F$42)-MIN(ROW('03.Muestra'!$D$8:$D$42))+1,""),ROW()-19)),"")</f>
        <v/>
      </c>
      <c r="E30" s="215" t="str" cm="1">
        <f t="array" aca="1" ref="E30" ca="1">IF($B30="","",IF(ISBLANK(INDIRECT("R5.Genéricos!D"&amp;SUM(18,38*0,11))),"",INDIRECT("R5.Genéricos!D"&amp;SUM(18,38*0,11))))</f>
        <v/>
      </c>
      <c r="F30" s="215" t="str" cm="1">
        <f t="array" aca="1" ref="F30" ca="1">IF($B30="","",IF(ISBLANK(INDIRECT("R5.Genéricos!D"&amp;SUM(18,38*1,11))),"",INDIRECT("R5.Genéricos!D"&amp;SUM(18,38*1,11))))</f>
        <v/>
      </c>
      <c r="G30" s="215" t="str" cm="1">
        <f t="array" aca="1" ref="G30" ca="1">IF($B30="","",IF(ISBLANK(INDIRECT("R5.Genéricos!D"&amp;SUM(18,38*2,11))),"",INDIRECT("R5.Genéricos!D"&amp;SUM(18,38*2,11))))</f>
        <v/>
      </c>
      <c r="H30" s="215" t="str" cm="1">
        <f t="array" aca="1" ref="H30" ca="1">IF($B30="","",IF(ISBLANK(INDIRECT("R6.Voz!D"&amp;SUM(18,38*0,11))),"",INDIRECT("R6.Voz!D"&amp;SUM(18,38*0,11))))</f>
        <v/>
      </c>
      <c r="I30" s="215" t="str" cm="1">
        <f t="array" aca="1" ref="I30" ca="1">IF($B30="","",IF(ISBLANK(INDIRECT("R6.Voz!D"&amp;SUM(18,38*1,11))),"",INDIRECT("R6.Voz!D"&amp;SUM(18,38*1,11))))</f>
        <v/>
      </c>
      <c r="J30" s="215" t="str" cm="1">
        <f t="array" aca="1" ref="J30" ca="1">IF($B30="","",IF(ISBLANK(INDIRECT("R6.Voz!D"&amp;SUM(18,38*2,11))),"",INDIRECT("R6.Voz!D"&amp;SUM(18,38*2,11))))</f>
        <v/>
      </c>
      <c r="K30" s="215" t="str" cm="1">
        <f t="array" aca="1" ref="K30" ca="1">IF($B30="","",IF(ISBLANK(INDIRECT("R6.Voz!D"&amp;SUM(18,38*3,11))),"",INDIRECT("R6.Voz!D"&amp;SUM(18,38*3,11))))</f>
        <v/>
      </c>
      <c r="L30" s="215" t="str" cm="1">
        <f t="array" aca="1" ref="L30" ca="1">IF($B30="","",IF(ISBLANK(INDIRECT("R6.Voz!D"&amp;SUM(18,38*4,11))),"",INDIRECT("R6.Voz!D"&amp;SUM(18,38*4,11))))</f>
        <v/>
      </c>
      <c r="M30" s="215" t="str" cm="1">
        <f t="array" aca="1" ref="M30" ca="1">IF($B30="","",IF(ISBLANK(INDIRECT("R6.Voz!D"&amp;SUM(18,38*5,11))),"",INDIRECT("R6.Voz!D"&amp;SUM(18,38*5,11))))</f>
        <v/>
      </c>
      <c r="N30" s="215" t="str" cm="1">
        <f t="array" aca="1" ref="N30" ca="1">IF($B30="","",IF(ISBLANK(INDIRECT("R6.Voz!D"&amp;SUM(18,38*6,11))),"",INDIRECT("R6.Voz!D"&amp;SUM(18,38*6,11))))</f>
        <v/>
      </c>
      <c r="O30" s="215" t="str" cm="1">
        <f t="array" aca="1" ref="O30" ca="1">IF($B30="","",IF(ISBLANK(INDIRECT("R6.Voz!D"&amp;SUM(18,38*7,11))),"",INDIRECT("R6.Voz!D"&amp;SUM(18,38*7,11))))</f>
        <v/>
      </c>
      <c r="P30" s="215" t="str" cm="1">
        <f t="array" aca="1" ref="P30" ca="1">IF($B30="","",IF(ISBLANK(INDIRECT("R6.Voz!D"&amp;SUM(18,38*8,11))),"",INDIRECT("R6.Voz!D"&amp;SUM(18,38*8,11))))</f>
        <v/>
      </c>
      <c r="Q30" s="215" t="str" cm="1">
        <f t="array" aca="1" ref="Q30" ca="1">IF($B30="","",IF(ISBLANK(INDIRECT("R6.Voz!D"&amp;SUM(18,38*9,11))),"",INDIRECT("R6.Voz!D"&amp;SUM(18,38*9,11))))</f>
        <v/>
      </c>
      <c r="R30" s="215" t="str" cm="1">
        <f t="array" aca="1" ref="R30" ca="1">IF($B30="","",IF(ISBLANK(INDIRECT("R6.Voz!D"&amp;SUM(18,38*10,11))),"",INDIRECT("R6.Voz!D"&amp;SUM(18,38*10,11))))</f>
        <v/>
      </c>
      <c r="S30" s="215" t="str" cm="1">
        <f t="array" aca="1" ref="S30" ca="1">IF($B30="","",IF(ISBLANK(INDIRECT("R6.Voz!D"&amp;SUM(18,38*11,11))),"",INDIRECT("R6.Voz!D"&amp;SUM(18,38*11,11))))</f>
        <v/>
      </c>
      <c r="T30" s="215" t="str" cm="1">
        <f t="array" aca="1" ref="T30" ca="1">IF($B30="","",IF(ISBLANK(INDIRECT("R6.Voz!D"&amp;SUM(18,38*12,11))),"",INDIRECT("R6.Voz!D"&amp;SUM(18,38*12,11))))</f>
        <v/>
      </c>
      <c r="U30" s="215" t="str" cm="1">
        <f t="array" aca="1" ref="U30" ca="1">IF($B30="","",IF(ISBLANK(INDIRECT("R6.Voz!D"&amp;SUM(18,38*13,11))),"",INDIRECT("R6.Voz!D"&amp;SUM(18,38*13,11))))</f>
        <v/>
      </c>
      <c r="V30" s="215" t="str" cm="1">
        <f t="array" aca="1" ref="V30" ca="1">IF($B30="","",IF(ISBLANK(INDIRECT("R6.Voz!D"&amp;SUM(18,38*14,11))),"",INDIRECT("R6.Voz!D"&amp;SUM(18,38*14,11))))</f>
        <v/>
      </c>
      <c r="W30" s="215" t="str" cm="1">
        <f t="array" aca="1" ref="W30" ca="1">IF($B30="","",IF(ISBLANK(INDIRECT("R6.Voz!D"&amp;SUM(18,38*15,11))),"",INDIRECT("R6.Voz!D"&amp;SUM(18,38*15,11))))</f>
        <v/>
      </c>
      <c r="X30" s="215" t="str" cm="1">
        <f t="array" aca="1" ref="X30" ca="1">IF($B30="","",IF(ISBLANK(INDIRECT("R6.Voz!D"&amp;SUM(18,38*16,11))),"",INDIRECT("R6.Voz!D"&amp;SUM(18,38*16,11))))</f>
        <v/>
      </c>
      <c r="Y30" s="215" t="str" cm="1">
        <f t="array" aca="1" ref="Y30" ca="1">IF($B30="","",IF(ISBLANK(INDIRECT("R6.Voz!D"&amp;SUM(18,38*17,11))),"",INDIRECT("R6.Voz!D"&amp;SUM(18,38*17,11))))</f>
        <v/>
      </c>
      <c r="Z30" s="215" t="str" cm="1">
        <f t="array" aca="1" ref="Z30" ca="1">IF($B30="","",IF(ISBLANK(INDIRECT("R6.Voz!D"&amp;SUM(18,38*18,11))),"",INDIRECT("R6.Voz!D"&amp;SUM(18,38*18,11))))</f>
        <v/>
      </c>
      <c r="AA30" s="215" t="str" cm="1">
        <f t="array" aca="1" ref="AA30" ca="1">IF($B30="","",IF(ISBLANK(INDIRECT("R7.Video!D"&amp;SUM(18,38*0,11))),"",INDIRECT("R7.Video!D"&amp;SUM(18,38*0,11))))</f>
        <v/>
      </c>
      <c r="AB30" s="215" t="str" cm="1">
        <f t="array" aca="1" ref="AB30" ca="1">IF($B30="","",IF(ISBLANK(INDIRECT("R7.Video!D"&amp;SUM(18,38*1,11))),"",INDIRECT("R7.Video!D"&amp;SUM(18,38*1,11))))</f>
        <v/>
      </c>
      <c r="AC30" s="215" t="str" cm="1">
        <f t="array" aca="1" ref="AC30" ca="1">IF($B30="","",IF(ISBLANK(INDIRECT("R7.Video!D"&amp;SUM(18,38*2,11))),"",INDIRECT("R7.Video!D"&amp;SUM(18,38*2,11))))</f>
        <v/>
      </c>
      <c r="AD30" s="215" t="str" cm="1">
        <f t="array" aca="1" ref="AD30" ca="1">IF($B30="","",IF(ISBLANK(INDIRECT("R7.Video!D"&amp;SUM(18,38*3,11))),"",INDIRECT("R7.Video!D"&amp;SUM(18,38*3,11))))</f>
        <v/>
      </c>
      <c r="AE30" s="215" t="str" cm="1">
        <f t="array" aca="1" ref="AE30" ca="1">IF($B30="","",IF(ISBLANK(INDIRECT("R7.Video!D"&amp;SUM(18,38*4,11))),"",INDIRECT("R7.Video!D"&amp;SUM(18,38*4,11))))</f>
        <v/>
      </c>
      <c r="AF30" s="215" t="str" cm="1">
        <f t="array" aca="1" ref="AF30" ca="1">IF($B30="","",IF(ISBLANK(INDIRECT("R7.Video!D"&amp;SUM(18,38*5,11))),"",INDIRECT("R7.Video!D"&amp;SUM(18,38*5,11))))</f>
        <v/>
      </c>
      <c r="AG30" s="215" t="str" cm="1">
        <f t="array" aca="1" ref="AG30" ca="1">IF($B30="","",IF(ISBLANK(INDIRECT("R7.Video!D"&amp;SUM(18,38*6,11))),"",INDIRECT("R7.Video!D"&amp;SUM(18,38*6,11))))</f>
        <v/>
      </c>
      <c r="AH30" s="215" t="str" cm="1">
        <f t="array" aca="1" ref="AH30" ca="1">IF($B30="","",IF(ISBLANK(INDIRECT("R7.Video!D"&amp;SUM(18,38*7,11))),"",INDIRECT("R7.Video!D"&amp;SUM(18,38*7,11))))</f>
        <v/>
      </c>
      <c r="AI30" s="215" t="str" cm="1">
        <f t="array" aca="1" ref="AI30" ca="1">IF($B30="","",IF(ISBLANK(INDIRECT("R7.Video!D"&amp;SUM(18,38*8,11))),"",INDIRECT("R7.Video!D"&amp;SUM(18,38*8,11))))</f>
        <v/>
      </c>
      <c r="AJ30" s="215" t="str" cm="1">
        <f t="array" aca="1" ref="AJ30" ca="1">IF($B30="","",IF(ISBLANK(INDIRECT("R9.Web!D"&amp;SUM(18,38*0,11))),"",INDIRECT("R9.Web!D"&amp;SUM(18,38*0,11))))</f>
        <v/>
      </c>
      <c r="AK30" s="215" t="str" cm="1">
        <f t="array" aca="1" ref="AK30" ca="1">IF($B30="","",IF(ISBLANK(INDIRECT("R9.Web!D"&amp;SUM(18,38*1,11))),"",INDIRECT("R9.Web!D"&amp;SUM(18,38*1,11))))</f>
        <v/>
      </c>
      <c r="AL30" s="215" t="str" cm="1">
        <f t="array" aca="1" ref="AL30" ca="1">IF($B30="","",IF(ISBLANK(INDIRECT("R9.Web!D"&amp;SUM(18,38*2,11))),"",INDIRECT("R9.Web!D"&amp;SUM(18,38*2,11))))</f>
        <v/>
      </c>
      <c r="AM30" s="215" t="str" cm="1">
        <f t="array" aca="1" ref="AM30" ca="1">IF($B30="","",IF(ISBLANK(INDIRECT("R9.Web!D"&amp;SUM(18,38*3,11))),"",INDIRECT("R9.Web!D"&amp;SUM(18,38*3,11))))</f>
        <v/>
      </c>
      <c r="AN30" s="215" t="str" cm="1">
        <f t="array" aca="1" ref="AN30" ca="1">IF($B30="","",IF(ISBLANK(INDIRECT("R9.Web!D"&amp;SUM(18,38*4,11))),"",INDIRECT("R9.Web!D"&amp;SUM(18,38*4,11))))</f>
        <v/>
      </c>
      <c r="AO30" s="215" t="str" cm="1">
        <f t="array" aca="1" ref="AO30" ca="1">IF($B30="","",IF(ISBLANK(INDIRECT("R9.Web!D"&amp;SUM(18,38*5,11))),"",INDIRECT("R9.Web!D"&amp;SUM(18,38*5,11))))</f>
        <v/>
      </c>
      <c r="AP30" s="215" t="str" cm="1">
        <f t="array" aca="1" ref="AP30" ca="1">IF($B30="","",IF(ISBLANK(INDIRECT("R9.Web!D"&amp;SUM(18,38*6,11))),"",INDIRECT("R9.Web!D"&amp;SUM(18,38*6,11))))</f>
        <v/>
      </c>
      <c r="AQ30" s="215" t="str" cm="1">
        <f t="array" aca="1" ref="AQ30" ca="1">IF($B30="","",IF(ISBLANK(INDIRECT("R9.Web!D"&amp;SUM(18,38*7,11))),"",INDIRECT("R9.Web!D"&amp;SUM(18,38*7,11))))</f>
        <v/>
      </c>
      <c r="AR30" s="215" t="str" cm="1">
        <f t="array" aca="1" ref="AR30" ca="1">IF($B30="","",IF(ISBLANK(INDIRECT("R9.Web!D"&amp;SUM(18,38*8,11))),"",INDIRECT("R9.Web!D"&amp;SUM(18,38*8,11))))</f>
        <v/>
      </c>
      <c r="AS30" s="215" t="str" cm="1">
        <f t="array" aca="1" ref="AS30" ca="1">IF($B30="","",IF(ISBLANK(INDIRECT("R9.Web!D"&amp;SUM(18,38*9,11))),"",INDIRECT("R9.Web!D"&amp;SUM(18,38*9,11))))</f>
        <v/>
      </c>
      <c r="AT30" s="215" t="str" cm="1">
        <f t="array" aca="1" ref="AT30" ca="1">IF($B30="","",IF(ISBLANK(INDIRECT("R9.Web!D"&amp;SUM(18,38*10,11))),"",INDIRECT("R9.Web!D"&amp;SUM(18,38*10,11))))</f>
        <v/>
      </c>
      <c r="AU30" s="215" t="str" cm="1">
        <f t="array" aca="1" ref="AU30" ca="1">IF($B30="","",IF(ISBLANK(INDIRECT("R9.Web!D"&amp;SUM(18,38*11,11))),"",INDIRECT("R9.Web!D"&amp;SUM(18,38*11,11))))</f>
        <v/>
      </c>
      <c r="AV30" s="215" t="str" cm="1">
        <f t="array" aca="1" ref="AV30" ca="1">IF($B30="","",IF(ISBLANK(INDIRECT("R9.Web!D"&amp;SUM(18,38*12,11))),"",INDIRECT("R9.Web!D"&amp;SUM(18,38*12,11))))</f>
        <v/>
      </c>
      <c r="AW30" s="215" t="str" cm="1">
        <f t="array" aca="1" ref="AW30" ca="1">IF($B30="","",IF(ISBLANK(INDIRECT("R9.Web!D"&amp;SUM(18,38*13,11))),"",INDIRECT("R9.Web!D"&amp;SUM(18,38*13,11))))</f>
        <v/>
      </c>
      <c r="AX30" s="215" t="str" cm="1">
        <f t="array" aca="1" ref="AX30" ca="1">IF($B30="","",IF(ISBLANK(INDIRECT("R9.Web!D"&amp;SUM(18,38*14,11))),"",INDIRECT("R9.Web!D"&amp;SUM(18,38*14,11))))</f>
        <v/>
      </c>
      <c r="AY30" s="215" t="str" cm="1">
        <f t="array" aca="1" ref="AY30" ca="1">IF($B30="","",IF(ISBLANK(INDIRECT("R9.Web!D"&amp;SUM(18,38*15,11))),"",INDIRECT("R9.Web!D"&amp;SUM(18,38*15,11))))</f>
        <v/>
      </c>
      <c r="AZ30" s="215" t="str" cm="1">
        <f t="array" aca="1" ref="AZ30" ca="1">IF($B30="","",IF(ISBLANK(INDIRECT("R9.Web!D"&amp;SUM(18,38*16,11))),"",INDIRECT("R9.Web!D"&amp;SUM(18,38*16,11))))</f>
        <v/>
      </c>
      <c r="BA30" s="215" t="str" cm="1">
        <f t="array" aca="1" ref="BA30" ca="1">IF($B30="","",IF(ISBLANK(INDIRECT("R9.Web!D"&amp;SUM(18,38*17,11))),"",INDIRECT("R9.Web!D"&amp;SUM(18,38*17,11))))</f>
        <v/>
      </c>
      <c r="BB30" s="215" t="str" cm="1">
        <f t="array" aca="1" ref="BB30" ca="1">IF($B30="","",IF(ISBLANK(INDIRECT("R9.Web!D"&amp;SUM(18,38*18,11))),"",INDIRECT("R9.Web!D"&amp;SUM(18,38*18,11))))</f>
        <v/>
      </c>
      <c r="BC30" s="215" t="str" cm="1">
        <f t="array" aca="1" ref="BC30" ca="1">IF($B30="","",IF(ISBLANK(INDIRECT("R9.Web!D"&amp;SUM(18,38*19,11))),"",INDIRECT("R9.Web!D"&amp;SUM(18,38*19,11))))</f>
        <v/>
      </c>
      <c r="BD30" s="215" t="str" cm="1">
        <f t="array" aca="1" ref="BD30" ca="1">IF($B30="","",IF(ISBLANK(INDIRECT("R9.Web!D"&amp;SUM(18,38*20,11))),"",INDIRECT("R9.Web!D"&amp;SUM(18,38*20,11))))</f>
        <v/>
      </c>
      <c r="BE30" s="215" t="str" cm="1">
        <f t="array" aca="1" ref="BE30" ca="1">IF($B30="","",IF(ISBLANK(INDIRECT("R9.Web!D"&amp;SUM(18,38*21,11))),"",INDIRECT("R9.Web!D"&amp;SUM(18,38*21,11))))</f>
        <v/>
      </c>
      <c r="BF30" s="215" t="str" cm="1">
        <f t="array" aca="1" ref="BF30" ca="1">IF($B30="","",IF(ISBLANK(INDIRECT("R9.Web!D"&amp;SUM(18,38*22,11))),"",INDIRECT("R9.Web!D"&amp;SUM(18,38*22,11))))</f>
        <v/>
      </c>
      <c r="BG30" s="215" t="str" cm="1">
        <f t="array" aca="1" ref="BG30" ca="1">IF($B30="","",IF(ISBLANK(INDIRECT("R9.Web!D"&amp;SUM(18,38*23,11))),"",INDIRECT("R9.Web!D"&amp;SUM(18,38*23,11))))</f>
        <v/>
      </c>
      <c r="BH30" s="215" t="str" cm="1">
        <f t="array" aca="1" ref="BH30" ca="1">IF($B30="","",IF(ISBLANK(INDIRECT("R9.Web!D"&amp;SUM(18,38*24,11))),"",INDIRECT("R9.Web!D"&amp;SUM(18,38*24,11))))</f>
        <v/>
      </c>
      <c r="BI30" s="215" t="str" cm="1">
        <f t="array" aca="1" ref="BI30" ca="1">IF($B30="","",IF(ISBLANK(INDIRECT("R9.Web!D"&amp;SUM(18,38*25,11))),"",INDIRECT("R9.Web!D"&amp;SUM(18,38*25,11))))</f>
        <v/>
      </c>
      <c r="BJ30" s="215" t="str" cm="1">
        <f t="array" aca="1" ref="BJ30" ca="1">IF($B30="","",IF(ISBLANK(INDIRECT("R9.Web!D"&amp;SUM(18,38*26,11))),"",INDIRECT("R9.Web!D"&amp;SUM(18,38*26,11))))</f>
        <v/>
      </c>
      <c r="BK30" s="215" t="str" cm="1">
        <f t="array" aca="1" ref="BK30" ca="1">IF($B30="","",IF(ISBLANK(INDIRECT("R9.Web!D"&amp;SUM(18,38*27,11))),"",INDIRECT("R9.Web!D"&amp;SUM(18,38*27,11))))</f>
        <v/>
      </c>
      <c r="BL30" s="215" t="str" cm="1">
        <f t="array" aca="1" ref="BL30" ca="1">IF($B30="","",IF(ISBLANK(INDIRECT("R9.Web!D"&amp;SUM(18,38*28,11))),"",INDIRECT("R9.Web!D"&amp;SUM(18,38*28,11))))</f>
        <v/>
      </c>
      <c r="BM30" s="215" t="str" cm="1">
        <f t="array" aca="1" ref="BM30" ca="1">IF($B30="","",IF(ISBLANK(INDIRECT("R9.Web!D"&amp;SUM(18,38*29,11))),"",INDIRECT("R9.Web!D"&amp;SUM(18,38*29,11))))</f>
        <v/>
      </c>
      <c r="BN30" s="215" t="str" cm="1">
        <f t="array" aca="1" ref="BN30" ca="1">IF($B30="","",IF(ISBLANK(INDIRECT("R9.Web!D"&amp;SUM(18,38*30,11))),"",INDIRECT("R9.Web!D"&amp;SUM(18,38*30,11))))</f>
        <v/>
      </c>
      <c r="BO30" s="215" t="str" cm="1">
        <f t="array" aca="1" ref="BO30" ca="1">IF($B30="","",IF(ISBLANK(INDIRECT("R9.Web!D"&amp;SUM(18,38*31,11))),"",INDIRECT("R9.Web!D"&amp;SUM(18,38*31,11))))</f>
        <v/>
      </c>
      <c r="BP30" s="215" t="str" cm="1">
        <f t="array" aca="1" ref="BP30" ca="1">IF($B30="","",IF(ISBLANK(INDIRECT("R9.Web!D"&amp;SUM(18,38*32,11))),"",INDIRECT("R9.Web!D"&amp;SUM(18,38*32,11))))</f>
        <v/>
      </c>
      <c r="BQ30" s="215" t="str" cm="1">
        <f t="array" aca="1" ref="BQ30" ca="1">IF($B30="","",IF(ISBLANK(INDIRECT("R9.Web!D"&amp;SUM(18,38*33,11))),"",INDIRECT("R9.Web!D"&amp;SUM(18,38*33,11))))</f>
        <v/>
      </c>
      <c r="BR30" s="215" t="str" cm="1">
        <f t="array" aca="1" ref="BR30" ca="1">IF($B30="","",IF(ISBLANK(INDIRECT("R9.Web!D"&amp;SUM(18,38*34,11))),"",INDIRECT("R9.Web!D"&amp;SUM(18,38*34,11))))</f>
        <v/>
      </c>
      <c r="BS30" s="215" t="str" cm="1">
        <f t="array" aca="1" ref="BS30" ca="1">IF($B30="","",IF(ISBLANK(INDIRECT("R9.Web!D"&amp;SUM(18,38*35,11))),"",INDIRECT("R9.Web!D"&amp;SUM(18,38*35,11))))</f>
        <v/>
      </c>
      <c r="BT30" s="215" t="str" cm="1">
        <f t="array" aca="1" ref="BT30" ca="1">IF($B30="","",IF(ISBLANK(INDIRECT("R9.Web!D"&amp;SUM(18,38*36,11))),"",INDIRECT("R9.Web!D"&amp;SUM(18,38*36,11))))</f>
        <v/>
      </c>
      <c r="BU30" s="215" t="str" cm="1">
        <f t="array" aca="1" ref="BU30" ca="1">IF($B30="","",IF(ISBLANK(INDIRECT("R9.Web!D"&amp;SUM(18,38*37,11))),"",INDIRECT("R9.Web!D"&amp;SUM(18,38*37,11))))</f>
        <v/>
      </c>
      <c r="BV30" s="215" t="str" cm="1">
        <f t="array" aca="1" ref="BV30" ca="1">IF($B30="","",IF(ISBLANK(INDIRECT("R9.Web!D"&amp;SUM(18,38*38,11))),"",INDIRECT("R9.Web!D"&amp;SUM(18,38*38,11))))</f>
        <v/>
      </c>
      <c r="BW30" s="215" t="str" cm="1">
        <f t="array" aca="1" ref="BW30" ca="1">IF($B30="","",IF(ISBLANK(INDIRECT("R9.Web!D"&amp;SUM(18,38*39,11))),"",INDIRECT("R9.Web!D"&amp;SUM(18,38*39,11))))</f>
        <v/>
      </c>
      <c r="BX30" s="215" t="str" cm="1">
        <f t="array" aca="1" ref="BX30" ca="1">IF($B30="","",IF(ISBLANK(INDIRECT("R9.Web!D"&amp;SUM(18,38*40,11))),"",INDIRECT("R9.Web!D"&amp;SUM(18,38*40,11))))</f>
        <v/>
      </c>
      <c r="BY30" s="215" t="str" cm="1">
        <f t="array" aca="1" ref="BY30" ca="1">IF($B30="","",IF(ISBLANK(INDIRECT("R9.Web!D"&amp;SUM(18,38*41,11))),"",INDIRECT("R9.Web!D"&amp;SUM(18,38*41,11))))</f>
        <v/>
      </c>
      <c r="BZ30" s="215" t="str" cm="1">
        <f t="array" aca="1" ref="BZ30" ca="1">IF($B30="","",IF(ISBLANK(INDIRECT("R9.Web!D"&amp;SUM(18,38*42,11))),"",INDIRECT("R9.Web!D"&amp;SUM(18,38*42,11))))</f>
        <v/>
      </c>
      <c r="CA30" s="215" t="str" cm="1">
        <f t="array" aca="1" ref="CA30" ca="1">IF($B30="","",IF(ISBLANK(INDIRECT("R9.Web!D"&amp;SUM(18,38*43,11))),"",INDIRECT("R9.Web!D"&amp;SUM(18,38*43,11))))</f>
        <v/>
      </c>
      <c r="CB30" s="215" t="str" cm="1">
        <f t="array" aca="1" ref="CB30" ca="1">IF($B30="","",IF(ISBLANK(INDIRECT("R9.Web!D"&amp;SUM(18,38*44,11))),"",INDIRECT("R9.Web!D"&amp;SUM(18,38*44,11))))</f>
        <v/>
      </c>
      <c r="CC30" s="215" t="str" cm="1">
        <f t="array" aca="1" ref="CC30" ca="1">IF($B30="","",IF(ISBLANK(INDIRECT("R9.Web!D"&amp;SUM(18,38*45,11))),"",INDIRECT("R9.Web!D"&amp;SUM(18,38*45,11))))</f>
        <v/>
      </c>
      <c r="CD30" s="215" t="str" cm="1">
        <f t="array" aca="1" ref="CD30" ca="1">IF($B30="","",IF(ISBLANK(INDIRECT("R9.Web!D"&amp;SUM(18,38*46,11))),"",INDIRECT("R9.Web!D"&amp;SUM(18,38*46,11))))</f>
        <v/>
      </c>
      <c r="CE30" s="215" t="str" cm="1">
        <f t="array" aca="1" ref="CE30" ca="1">IF($B30="","",IF(ISBLANK(INDIRECT("R9.Web!D"&amp;SUM(18,38*47,11))),"",INDIRECT("R9.Web!D"&amp;SUM(18,38*47,11))))</f>
        <v/>
      </c>
      <c r="CF30" s="215" t="str" cm="1">
        <f t="array" aca="1" ref="CF30" ca="1">IF($B30="","",IF(ISBLANK(INDIRECT("R9.Web!D"&amp;SUM(18,38*48,11))),"",INDIRECT("R9.Web!D"&amp;SUM(18,38*48,11))))</f>
        <v/>
      </c>
      <c r="CG30" s="215" t="str" cm="1">
        <f t="array" aca="1" ref="CG30" ca="1">IF($B30="","",IF(ISBLANK(INDIRECT("R9.Web!D"&amp;SUM(18,38*49,11))),"",INDIRECT("R9.Web!D"&amp;SUM(18,38*49,11))))</f>
        <v/>
      </c>
      <c r="CH30" s="215" t="str" cm="1">
        <f t="array" aca="1" ref="CH30" ca="1">IF($B30="","",IF(ISBLANK(INDIRECT("R11.Software!D"&amp;SUM(18,38*0,11))),"",INDIRECT("R11.Software!D"&amp;SUM(18,38*0,11))))</f>
        <v/>
      </c>
      <c r="CI30" s="215" t="str" cm="1">
        <f t="array" aca="1" ref="CI30" ca="1">IF($B30="","",IF(ISBLANK(INDIRECT("R11.Software!D"&amp;SUM(18,38*1,11))),"",INDIRECT("R11.Software!D"&amp;SUM(18,38*1,11))))</f>
        <v/>
      </c>
      <c r="CJ30" s="215" t="str" cm="1">
        <f t="array" aca="1" ref="CJ30" ca="1">IF($B30="","",IF(ISBLANK(INDIRECT("R11.Software!D"&amp;SUM(18,38*2,11))),"",INDIRECT("R11.Software!D"&amp;SUM(18,38*2,11))))</f>
        <v/>
      </c>
      <c r="CK30" s="215" t="str" cm="1">
        <f t="array" aca="1" ref="CK30" ca="1">IF($B30="","",IF(ISBLANK(INDIRECT("R11.Software!D"&amp;SUM(18,38*3,11))),"",INDIRECT("R11.Software!D"&amp;SUM(18,38*3,11))))</f>
        <v/>
      </c>
      <c r="CL30" s="215" t="str" cm="1">
        <f t="array" aca="1" ref="CL30" ca="1">IF($B30="","",IF(ISBLANK(INDIRECT("R11.Software!D"&amp;SUM(18,38*4,11))),"",INDIRECT("R11.Software!D"&amp;SUM(18,38*4,11))))</f>
        <v/>
      </c>
      <c r="CM30" s="215" t="str" cm="1">
        <f t="array" aca="1" ref="CM30" ca="1">IF($B30="","",IF(ISBLANK(INDIRECT("R11.Software!D"&amp;SUM(18,38*5,11))),"",INDIRECT("R11.Software!D"&amp;SUM(18,38*5,11))))</f>
        <v/>
      </c>
      <c r="CN30" s="215" t="str" cm="1">
        <f t="array" aca="1" ref="CN30" ca="1">IF($B30="","",IF(ISBLANK(INDIRECT("R12.ServiciosApoyo!D"&amp;SUM(18,38*0,11))),"",INDIRECT("R12.ServiciosApoyo!D"&amp;SUM(18,38*0,11))))</f>
        <v/>
      </c>
      <c r="CO30" s="215" t="str" cm="1">
        <f t="array" aca="1" ref="CO30" ca="1">IF($B30="","",IF(ISBLANK(INDIRECT("R12.ServiciosApoyo!D"&amp;SUM(18,38*1,11))),"",INDIRECT("R12.ServiciosApoyo!D"&amp;SUM(18,38*1,11))))</f>
        <v/>
      </c>
      <c r="CP30" s="215" t="str" cm="1">
        <f t="array" aca="1" ref="CP30" ca="1">IF($B30="","",IF(ISBLANK(INDIRECT("R12.ServiciosApoyo!D"&amp;SUM(18,38*2,11))),"",INDIRECT("R12.ServiciosApoyo!D"&amp;SUM(18,38*2,11))))</f>
        <v/>
      </c>
      <c r="CQ30" s="215" t="str" cm="1">
        <f t="array" aca="1" ref="CQ30" ca="1">IF($B30="","",IF(ISBLANK(INDIRECT("R12.ServiciosApoyo!D"&amp;SUM(18,38*3,11))),"",INDIRECT("R12.ServiciosApoyo!D"&amp;SUM(18,38*3,11))))</f>
        <v/>
      </c>
      <c r="CR30" s="215" t="str" cm="1">
        <f t="array" aca="1" ref="CR30" ca="1">IF($B30="","",IF(ISBLANK(INDIRECT("R12.ServiciosApoyo!D"&amp;SUM(18,38*4,11))),"",INDIRECT("R12.ServiciosApoyo!D"&amp;SUM(18,38*4,11))))</f>
        <v/>
      </c>
      <c r="CU30" s="100"/>
      <c r="CV30" s="101"/>
      <c r="CW30" s="29"/>
      <c r="CX30" s="29"/>
    </row>
    <row r="31" spans="2:102" ht="20.5">
      <c r="B31" s="181" t="str" cm="1">
        <f t="array" ref="B31">IFERROR(INDEX('03.Muestra'!$B$8:$B$42,SMALL(IF("Página Web"='03.Muestra'!$D$8:$D$42,ROW('03.Muestra'!$B$8:$B$42)-MIN(ROW('03.Muestra'!$D$8:$D$42))+1,""),ROW()-19)),"")</f>
        <v/>
      </c>
      <c r="C31" s="97" t="str" cm="1">
        <f t="array" ref="C31">IFERROR(INDEX('03.Muestra'!$C$8:$C$42,SMALL(IF("Página Web"='03.Muestra'!$D$8:$D$42,ROW('03.Muestra'!$C$8:$C$42)-MIN(ROW('03.Muestra'!$D$8:$D$42))+1,""),ROW()-19)),"")</f>
        <v/>
      </c>
      <c r="D31" s="98" t="str" cm="1">
        <f t="array" ref="D31">IFERROR(INDEX('03.Muestra'!$F$8:$F$42,SMALL(IF("Página Web"='03.Muestra'!$D$8:$D$42,ROW('03.Muestra'!$F$8:$F$42)-MIN(ROW('03.Muestra'!$D$8:$D$42))+1,""),ROW()-19)),"")</f>
        <v/>
      </c>
      <c r="E31" s="215" t="str" cm="1">
        <f t="array" aca="1" ref="E31" ca="1">IF($B31="","",IF(ISBLANK(INDIRECT("R5.Genéricos!D"&amp;SUM(18,38*0,12))),"",INDIRECT("R5.Genéricos!D"&amp;SUM(18,38*0,12))))</f>
        <v/>
      </c>
      <c r="F31" s="215" t="str" cm="1">
        <f t="array" aca="1" ref="F31" ca="1">IF($B31="","",IF(ISBLANK(INDIRECT("R5.Genéricos!D"&amp;SUM(18,38*1,12))),"",INDIRECT("R5.Genéricos!D"&amp;SUM(18,38*1,12))))</f>
        <v/>
      </c>
      <c r="G31" s="215" t="str" cm="1">
        <f t="array" aca="1" ref="G31" ca="1">IF($B31="","",IF(ISBLANK(INDIRECT("R5.Genéricos!D"&amp;SUM(18,38*2,12))),"",INDIRECT("R5.Genéricos!D"&amp;SUM(18,38*2,12))))</f>
        <v/>
      </c>
      <c r="H31" s="215" t="str" cm="1">
        <f t="array" aca="1" ref="H31" ca="1">IF($B31="","",IF(ISBLANK(INDIRECT("R6.Voz!D"&amp;SUM(18,38*0,12))),"",INDIRECT("R6.Voz!D"&amp;SUM(18,38*0,12))))</f>
        <v/>
      </c>
      <c r="I31" s="215" t="str" cm="1">
        <f t="array" aca="1" ref="I31" ca="1">IF($B31="","",IF(ISBLANK(INDIRECT("R6.Voz!D"&amp;SUM(18,38*1,12))),"",INDIRECT("R6.Voz!D"&amp;SUM(18,38*1,12))))</f>
        <v/>
      </c>
      <c r="J31" s="215" t="str" cm="1">
        <f t="array" aca="1" ref="J31" ca="1">IF($B31="","",IF(ISBLANK(INDIRECT("R6.Voz!D"&amp;SUM(18,38*2,12))),"",INDIRECT("R6.Voz!D"&amp;SUM(18,38*2,12))))</f>
        <v/>
      </c>
      <c r="K31" s="215" t="str" cm="1">
        <f t="array" aca="1" ref="K31" ca="1">IF($B31="","",IF(ISBLANK(INDIRECT("R6.Voz!D"&amp;SUM(18,38*3,12))),"",INDIRECT("R6.Voz!D"&amp;SUM(18,38*3,12))))</f>
        <v/>
      </c>
      <c r="L31" s="215" t="str" cm="1">
        <f t="array" aca="1" ref="L31" ca="1">IF($B31="","",IF(ISBLANK(INDIRECT("R6.Voz!D"&amp;SUM(18,38*4,12))),"",INDIRECT("R6.Voz!D"&amp;SUM(18,38*4,12))))</f>
        <v/>
      </c>
      <c r="M31" s="215" t="str" cm="1">
        <f t="array" aca="1" ref="M31" ca="1">IF($B31="","",IF(ISBLANK(INDIRECT("R6.Voz!D"&amp;SUM(18,38*5,12))),"",INDIRECT("R6.Voz!D"&amp;SUM(18,38*5,12))))</f>
        <v/>
      </c>
      <c r="N31" s="215" t="str" cm="1">
        <f t="array" aca="1" ref="N31" ca="1">IF($B31="","",IF(ISBLANK(INDIRECT("R6.Voz!D"&amp;SUM(18,38*6,12))),"",INDIRECT("R6.Voz!D"&amp;SUM(18,38*6,12))))</f>
        <v/>
      </c>
      <c r="O31" s="215" t="str" cm="1">
        <f t="array" aca="1" ref="O31" ca="1">IF($B31="","",IF(ISBLANK(INDIRECT("R6.Voz!D"&amp;SUM(18,38*7,12))),"",INDIRECT("R6.Voz!D"&amp;SUM(18,38*7,12))))</f>
        <v/>
      </c>
      <c r="P31" s="215" t="str" cm="1">
        <f t="array" aca="1" ref="P31" ca="1">IF($B31="","",IF(ISBLANK(INDIRECT("R6.Voz!D"&amp;SUM(18,38*8,12))),"",INDIRECT("R6.Voz!D"&amp;SUM(18,38*8,12))))</f>
        <v/>
      </c>
      <c r="Q31" s="215" t="str" cm="1">
        <f t="array" aca="1" ref="Q31" ca="1">IF($B31="","",IF(ISBLANK(INDIRECT("R6.Voz!D"&amp;SUM(18,38*9,12))),"",INDIRECT("R6.Voz!D"&amp;SUM(18,38*9,12))))</f>
        <v/>
      </c>
      <c r="R31" s="215" t="str" cm="1">
        <f t="array" aca="1" ref="R31" ca="1">IF($B31="","",IF(ISBLANK(INDIRECT("R6.Voz!D"&amp;SUM(18,38*10,12))),"",INDIRECT("R6.Voz!D"&amp;SUM(18,38*10,12))))</f>
        <v/>
      </c>
      <c r="S31" s="215" t="str" cm="1">
        <f t="array" aca="1" ref="S31" ca="1">IF($B31="","",IF(ISBLANK(INDIRECT("R6.Voz!D"&amp;SUM(18,38*11,12))),"",INDIRECT("R6.Voz!D"&amp;SUM(18,38*11,12))))</f>
        <v/>
      </c>
      <c r="T31" s="215" t="str" cm="1">
        <f t="array" aca="1" ref="T31" ca="1">IF($B31="","",IF(ISBLANK(INDIRECT("R6.Voz!D"&amp;SUM(18,38*12,12))),"",INDIRECT("R6.Voz!D"&amp;SUM(18,38*12,12))))</f>
        <v/>
      </c>
      <c r="U31" s="215" t="str" cm="1">
        <f t="array" aca="1" ref="U31" ca="1">IF($B31="","",IF(ISBLANK(INDIRECT("R6.Voz!D"&amp;SUM(18,38*13,12))),"",INDIRECT("R6.Voz!D"&amp;SUM(18,38*13,12))))</f>
        <v/>
      </c>
      <c r="V31" s="215" t="str" cm="1">
        <f t="array" aca="1" ref="V31" ca="1">IF($B31="","",IF(ISBLANK(INDIRECT("R6.Voz!D"&amp;SUM(18,38*14,12))),"",INDIRECT("R6.Voz!D"&amp;SUM(18,38*14,12))))</f>
        <v/>
      </c>
      <c r="W31" s="215" t="str" cm="1">
        <f t="array" aca="1" ref="W31" ca="1">IF($B31="","",IF(ISBLANK(INDIRECT("R6.Voz!D"&amp;SUM(18,38*15,12))),"",INDIRECT("R6.Voz!D"&amp;SUM(18,38*15,12))))</f>
        <v/>
      </c>
      <c r="X31" s="215" t="str" cm="1">
        <f t="array" aca="1" ref="X31" ca="1">IF($B31="","",IF(ISBLANK(INDIRECT("R6.Voz!D"&amp;SUM(18,38*16,12))),"",INDIRECT("R6.Voz!D"&amp;SUM(18,38*16,12))))</f>
        <v/>
      </c>
      <c r="Y31" s="215" t="str" cm="1">
        <f t="array" aca="1" ref="Y31" ca="1">IF($B31="","",IF(ISBLANK(INDIRECT("R6.Voz!D"&amp;SUM(18,38*17,12))),"",INDIRECT("R6.Voz!D"&amp;SUM(18,38*17,12))))</f>
        <v/>
      </c>
      <c r="Z31" s="215" t="str" cm="1">
        <f t="array" aca="1" ref="Z31" ca="1">IF($B31="","",IF(ISBLANK(INDIRECT("R6.Voz!D"&amp;SUM(18,38*18,12))),"",INDIRECT("R6.Voz!D"&amp;SUM(18,38*18,12))))</f>
        <v/>
      </c>
      <c r="AA31" s="215" t="str" cm="1">
        <f t="array" aca="1" ref="AA31" ca="1">IF($B31="","",IF(ISBLANK(INDIRECT("R7.Video!D"&amp;SUM(18,38*0,12))),"",INDIRECT("R7.Video!D"&amp;SUM(18,38*0,12))))</f>
        <v/>
      </c>
      <c r="AB31" s="215" t="str" cm="1">
        <f t="array" aca="1" ref="AB31" ca="1">IF($B31="","",IF(ISBLANK(INDIRECT("R7.Video!D"&amp;SUM(18,38*1,12))),"",INDIRECT("R7.Video!D"&amp;SUM(18,38*1,12))))</f>
        <v/>
      </c>
      <c r="AC31" s="215" t="str" cm="1">
        <f t="array" aca="1" ref="AC31" ca="1">IF($B31="","",IF(ISBLANK(INDIRECT("R7.Video!D"&amp;SUM(18,38*2,12))),"",INDIRECT("R7.Video!D"&amp;SUM(18,38*2,12))))</f>
        <v/>
      </c>
      <c r="AD31" s="215" t="str" cm="1">
        <f t="array" aca="1" ref="AD31" ca="1">IF($B31="","",IF(ISBLANK(INDIRECT("R7.Video!D"&amp;SUM(18,38*3,12))),"",INDIRECT("R7.Video!D"&amp;SUM(18,38*3,12))))</f>
        <v/>
      </c>
      <c r="AE31" s="215" t="str" cm="1">
        <f t="array" aca="1" ref="AE31" ca="1">IF($B31="","",IF(ISBLANK(INDIRECT("R7.Video!D"&amp;SUM(18,38*4,12))),"",INDIRECT("R7.Video!D"&amp;SUM(18,38*4,12))))</f>
        <v/>
      </c>
      <c r="AF31" s="215" t="str" cm="1">
        <f t="array" aca="1" ref="AF31" ca="1">IF($B31="","",IF(ISBLANK(INDIRECT("R7.Video!D"&amp;SUM(18,38*5,12))),"",INDIRECT("R7.Video!D"&amp;SUM(18,38*5,12))))</f>
        <v/>
      </c>
      <c r="AG31" s="215" t="str" cm="1">
        <f t="array" aca="1" ref="AG31" ca="1">IF($B31="","",IF(ISBLANK(INDIRECT("R7.Video!D"&amp;SUM(18,38*6,12))),"",INDIRECT("R7.Video!D"&amp;SUM(18,38*6,12))))</f>
        <v/>
      </c>
      <c r="AH31" s="215" t="str" cm="1">
        <f t="array" aca="1" ref="AH31" ca="1">IF($B31="","",IF(ISBLANK(INDIRECT("R7.Video!D"&amp;SUM(18,38*7,12))),"",INDIRECT("R7.Video!D"&amp;SUM(18,38*7,12))))</f>
        <v/>
      </c>
      <c r="AI31" s="215" t="str" cm="1">
        <f t="array" aca="1" ref="AI31" ca="1">IF($B31="","",IF(ISBLANK(INDIRECT("R7.Video!D"&amp;SUM(18,38*8,12))),"",INDIRECT("R7.Video!D"&amp;SUM(18,38*8,12))))</f>
        <v/>
      </c>
      <c r="AJ31" s="215" t="str" cm="1">
        <f t="array" aca="1" ref="AJ31" ca="1">IF($B31="","",IF(ISBLANK(INDIRECT("R9.Web!D"&amp;SUM(18,38*0,12))),"",INDIRECT("R9.Web!D"&amp;SUM(18,38*0,12))))</f>
        <v/>
      </c>
      <c r="AK31" s="215" t="str" cm="1">
        <f t="array" aca="1" ref="AK31" ca="1">IF($B31="","",IF(ISBLANK(INDIRECT("R9.Web!D"&amp;SUM(18,38*1,12))),"",INDIRECT("R9.Web!D"&amp;SUM(18,38*1,12))))</f>
        <v/>
      </c>
      <c r="AL31" s="215" t="str" cm="1">
        <f t="array" aca="1" ref="AL31" ca="1">IF($B31="","",IF(ISBLANK(INDIRECT("R9.Web!D"&amp;SUM(18,38*2,12))),"",INDIRECT("R9.Web!D"&amp;SUM(18,38*2,12))))</f>
        <v/>
      </c>
      <c r="AM31" s="215" t="str" cm="1">
        <f t="array" aca="1" ref="AM31" ca="1">IF($B31="","",IF(ISBLANK(INDIRECT("R9.Web!D"&amp;SUM(18,38*3,12))),"",INDIRECT("R9.Web!D"&amp;SUM(18,38*3,12))))</f>
        <v/>
      </c>
      <c r="AN31" s="215" t="str" cm="1">
        <f t="array" aca="1" ref="AN31" ca="1">IF($B31="","",IF(ISBLANK(INDIRECT("R9.Web!D"&amp;SUM(18,38*4,12))),"",INDIRECT("R9.Web!D"&amp;SUM(18,38*4,12))))</f>
        <v/>
      </c>
      <c r="AO31" s="215" t="str" cm="1">
        <f t="array" aca="1" ref="AO31" ca="1">IF($B31="","",IF(ISBLANK(INDIRECT("R9.Web!D"&amp;SUM(18,38*5,12))),"",INDIRECT("R9.Web!D"&amp;SUM(18,38*5,12))))</f>
        <v/>
      </c>
      <c r="AP31" s="215" t="str" cm="1">
        <f t="array" aca="1" ref="AP31" ca="1">IF($B31="","",IF(ISBLANK(INDIRECT("R9.Web!D"&amp;SUM(18,38*6,12))),"",INDIRECT("R9.Web!D"&amp;SUM(18,38*6,12))))</f>
        <v/>
      </c>
      <c r="AQ31" s="215" t="str" cm="1">
        <f t="array" aca="1" ref="AQ31" ca="1">IF($B31="","",IF(ISBLANK(INDIRECT("R9.Web!D"&amp;SUM(18,38*7,12))),"",INDIRECT("R9.Web!D"&amp;SUM(18,38*7,12))))</f>
        <v/>
      </c>
      <c r="AR31" s="215" t="str" cm="1">
        <f t="array" aca="1" ref="AR31" ca="1">IF($B31="","",IF(ISBLANK(INDIRECT("R9.Web!D"&amp;SUM(18,38*8,12))),"",INDIRECT("R9.Web!D"&amp;SUM(18,38*8,12))))</f>
        <v/>
      </c>
      <c r="AS31" s="215" t="str" cm="1">
        <f t="array" aca="1" ref="AS31" ca="1">IF($B31="","",IF(ISBLANK(INDIRECT("R9.Web!D"&amp;SUM(18,38*9,12))),"",INDIRECT("R9.Web!D"&amp;SUM(18,38*9,12))))</f>
        <v/>
      </c>
      <c r="AT31" s="215" t="str" cm="1">
        <f t="array" aca="1" ref="AT31" ca="1">IF($B31="","",IF(ISBLANK(INDIRECT("R9.Web!D"&amp;SUM(18,38*10,12))),"",INDIRECT("R9.Web!D"&amp;SUM(18,38*10,12))))</f>
        <v/>
      </c>
      <c r="AU31" s="215" t="str" cm="1">
        <f t="array" aca="1" ref="AU31" ca="1">IF($B31="","",IF(ISBLANK(INDIRECT("R9.Web!D"&amp;SUM(18,38*11,12))),"",INDIRECT("R9.Web!D"&amp;SUM(18,38*11,12))))</f>
        <v/>
      </c>
      <c r="AV31" s="215" t="str" cm="1">
        <f t="array" aca="1" ref="AV31" ca="1">IF($B31="","",IF(ISBLANK(INDIRECT("R9.Web!D"&amp;SUM(18,38*12,12))),"",INDIRECT("R9.Web!D"&amp;SUM(18,38*12,12))))</f>
        <v/>
      </c>
      <c r="AW31" s="215" t="str" cm="1">
        <f t="array" aca="1" ref="AW31" ca="1">IF($B31="","",IF(ISBLANK(INDIRECT("R9.Web!D"&amp;SUM(18,38*13,12))),"",INDIRECT("R9.Web!D"&amp;SUM(18,38*13,12))))</f>
        <v/>
      </c>
      <c r="AX31" s="215" t="str" cm="1">
        <f t="array" aca="1" ref="AX31" ca="1">IF($B31="","",IF(ISBLANK(INDIRECT("R9.Web!D"&amp;SUM(18,38*14,12))),"",INDIRECT("R9.Web!D"&amp;SUM(18,38*14,12))))</f>
        <v/>
      </c>
      <c r="AY31" s="215" t="str" cm="1">
        <f t="array" aca="1" ref="AY31" ca="1">IF($B31="","",IF(ISBLANK(INDIRECT("R9.Web!D"&amp;SUM(18,38*15,12))),"",INDIRECT("R9.Web!D"&amp;SUM(18,38*15,12))))</f>
        <v/>
      </c>
      <c r="AZ31" s="215" t="str" cm="1">
        <f t="array" aca="1" ref="AZ31" ca="1">IF($B31="","",IF(ISBLANK(INDIRECT("R9.Web!D"&amp;SUM(18,38*16,12))),"",INDIRECT("R9.Web!D"&amp;SUM(18,38*16,12))))</f>
        <v/>
      </c>
      <c r="BA31" s="215" t="str" cm="1">
        <f t="array" aca="1" ref="BA31" ca="1">IF($B31="","",IF(ISBLANK(INDIRECT("R9.Web!D"&amp;SUM(18,38*17,12))),"",INDIRECT("R9.Web!D"&amp;SUM(18,38*17,12))))</f>
        <v/>
      </c>
      <c r="BB31" s="215" t="str" cm="1">
        <f t="array" aca="1" ref="BB31" ca="1">IF($B31="","",IF(ISBLANK(INDIRECT("R9.Web!D"&amp;SUM(18,38*18,12))),"",INDIRECT("R9.Web!D"&amp;SUM(18,38*18,12))))</f>
        <v/>
      </c>
      <c r="BC31" s="215" t="str" cm="1">
        <f t="array" aca="1" ref="BC31" ca="1">IF($B31="","",IF(ISBLANK(INDIRECT("R9.Web!D"&amp;SUM(18,38*19,12))),"",INDIRECT("R9.Web!D"&amp;SUM(18,38*19,12))))</f>
        <v/>
      </c>
      <c r="BD31" s="215" t="str" cm="1">
        <f t="array" aca="1" ref="BD31" ca="1">IF($B31="","",IF(ISBLANK(INDIRECT("R9.Web!D"&amp;SUM(18,38*20,12))),"",INDIRECT("R9.Web!D"&amp;SUM(18,38*20,12))))</f>
        <v/>
      </c>
      <c r="BE31" s="215" t="str" cm="1">
        <f t="array" aca="1" ref="BE31" ca="1">IF($B31="","",IF(ISBLANK(INDIRECT("R9.Web!D"&amp;SUM(18,38*21,12))),"",INDIRECT("R9.Web!D"&amp;SUM(18,38*21,12))))</f>
        <v/>
      </c>
      <c r="BF31" s="215" t="str" cm="1">
        <f t="array" aca="1" ref="BF31" ca="1">IF($B31="","",IF(ISBLANK(INDIRECT("R9.Web!D"&amp;SUM(18,38*22,12))),"",INDIRECT("R9.Web!D"&amp;SUM(18,38*22,12))))</f>
        <v/>
      </c>
      <c r="BG31" s="215" t="str" cm="1">
        <f t="array" aca="1" ref="BG31" ca="1">IF($B31="","",IF(ISBLANK(INDIRECT("R9.Web!D"&amp;SUM(18,38*23,12))),"",INDIRECT("R9.Web!D"&amp;SUM(18,38*23,12))))</f>
        <v/>
      </c>
      <c r="BH31" s="215" t="str" cm="1">
        <f t="array" aca="1" ref="BH31" ca="1">IF($B31="","",IF(ISBLANK(INDIRECT("R9.Web!D"&amp;SUM(18,38*24,12))),"",INDIRECT("R9.Web!D"&amp;SUM(18,38*24,12))))</f>
        <v/>
      </c>
      <c r="BI31" s="215" t="str" cm="1">
        <f t="array" aca="1" ref="BI31" ca="1">IF($B31="","",IF(ISBLANK(INDIRECT("R9.Web!D"&amp;SUM(18,38*25,12))),"",INDIRECT("R9.Web!D"&amp;SUM(18,38*25,12))))</f>
        <v/>
      </c>
      <c r="BJ31" s="215" t="str" cm="1">
        <f t="array" aca="1" ref="BJ31" ca="1">IF($B31="","",IF(ISBLANK(INDIRECT("R9.Web!D"&amp;SUM(18,38*26,12))),"",INDIRECT("R9.Web!D"&amp;SUM(18,38*26,12))))</f>
        <v/>
      </c>
      <c r="BK31" s="215" t="str" cm="1">
        <f t="array" aca="1" ref="BK31" ca="1">IF($B31="","",IF(ISBLANK(INDIRECT("R9.Web!D"&amp;SUM(18,38*27,12))),"",INDIRECT("R9.Web!D"&amp;SUM(18,38*27,12))))</f>
        <v/>
      </c>
      <c r="BL31" s="215" t="str" cm="1">
        <f t="array" aca="1" ref="BL31" ca="1">IF($B31="","",IF(ISBLANK(INDIRECT("R9.Web!D"&amp;SUM(18,38*28,12))),"",INDIRECT("R9.Web!D"&amp;SUM(18,38*28,12))))</f>
        <v/>
      </c>
      <c r="BM31" s="215" t="str" cm="1">
        <f t="array" aca="1" ref="BM31" ca="1">IF($B31="","",IF(ISBLANK(INDIRECT("R9.Web!D"&amp;SUM(18,38*29,12))),"",INDIRECT("R9.Web!D"&amp;SUM(18,38*29,12))))</f>
        <v/>
      </c>
      <c r="BN31" s="215" t="str" cm="1">
        <f t="array" aca="1" ref="BN31" ca="1">IF($B31="","",IF(ISBLANK(INDIRECT("R9.Web!D"&amp;SUM(18,38*30,12))),"",INDIRECT("R9.Web!D"&amp;SUM(18,38*30,12))))</f>
        <v/>
      </c>
      <c r="BO31" s="215" t="str" cm="1">
        <f t="array" aca="1" ref="BO31" ca="1">IF($B31="","",IF(ISBLANK(INDIRECT("R9.Web!D"&amp;SUM(18,38*31,12))),"",INDIRECT("R9.Web!D"&amp;SUM(18,38*31,12))))</f>
        <v/>
      </c>
      <c r="BP31" s="215" t="str" cm="1">
        <f t="array" aca="1" ref="BP31" ca="1">IF($B31="","",IF(ISBLANK(INDIRECT("R9.Web!D"&amp;SUM(18,38*32,12))),"",INDIRECT("R9.Web!D"&amp;SUM(18,38*32,12))))</f>
        <v/>
      </c>
      <c r="BQ31" s="215" t="str" cm="1">
        <f t="array" aca="1" ref="BQ31" ca="1">IF($B31="","",IF(ISBLANK(INDIRECT("R9.Web!D"&amp;SUM(18,38*33,12))),"",INDIRECT("R9.Web!D"&amp;SUM(18,38*33,12))))</f>
        <v/>
      </c>
      <c r="BR31" s="215" t="str" cm="1">
        <f t="array" aca="1" ref="BR31" ca="1">IF($B31="","",IF(ISBLANK(INDIRECT("R9.Web!D"&amp;SUM(18,38*34,12))),"",INDIRECT("R9.Web!D"&amp;SUM(18,38*34,12))))</f>
        <v/>
      </c>
      <c r="BS31" s="215" t="str" cm="1">
        <f t="array" aca="1" ref="BS31" ca="1">IF($B31="","",IF(ISBLANK(INDIRECT("R9.Web!D"&amp;SUM(18,38*35,12))),"",INDIRECT("R9.Web!D"&amp;SUM(18,38*35,12))))</f>
        <v/>
      </c>
      <c r="BT31" s="215" t="str" cm="1">
        <f t="array" aca="1" ref="BT31" ca="1">IF($B31="","",IF(ISBLANK(INDIRECT("R9.Web!D"&amp;SUM(18,38*36,12))),"",INDIRECT("R9.Web!D"&amp;SUM(18,38*36,12))))</f>
        <v/>
      </c>
      <c r="BU31" s="215" t="str" cm="1">
        <f t="array" aca="1" ref="BU31" ca="1">IF($B31="","",IF(ISBLANK(INDIRECT("R9.Web!D"&amp;SUM(18,38*37,12))),"",INDIRECT("R9.Web!D"&amp;SUM(18,38*37,12))))</f>
        <v/>
      </c>
      <c r="BV31" s="215" t="str" cm="1">
        <f t="array" aca="1" ref="BV31" ca="1">IF($B31="","",IF(ISBLANK(INDIRECT("R9.Web!D"&amp;SUM(18,38*38,12))),"",INDIRECT("R9.Web!D"&amp;SUM(18,38*38,12))))</f>
        <v/>
      </c>
      <c r="BW31" s="215" t="str" cm="1">
        <f t="array" aca="1" ref="BW31" ca="1">IF($B31="","",IF(ISBLANK(INDIRECT("R9.Web!D"&amp;SUM(18,38*39,12))),"",INDIRECT("R9.Web!D"&amp;SUM(18,38*39,12))))</f>
        <v/>
      </c>
      <c r="BX31" s="215" t="str" cm="1">
        <f t="array" aca="1" ref="BX31" ca="1">IF($B31="","",IF(ISBLANK(INDIRECT("R9.Web!D"&amp;SUM(18,38*40,12))),"",INDIRECT("R9.Web!D"&amp;SUM(18,38*40,12))))</f>
        <v/>
      </c>
      <c r="BY31" s="215" t="str" cm="1">
        <f t="array" aca="1" ref="BY31" ca="1">IF($B31="","",IF(ISBLANK(INDIRECT("R9.Web!D"&amp;SUM(18,38*41,12))),"",INDIRECT("R9.Web!D"&amp;SUM(18,38*41,12))))</f>
        <v/>
      </c>
      <c r="BZ31" s="215" t="str" cm="1">
        <f t="array" aca="1" ref="BZ31" ca="1">IF($B31="","",IF(ISBLANK(INDIRECT("R9.Web!D"&amp;SUM(18,38*42,12))),"",INDIRECT("R9.Web!D"&amp;SUM(18,38*42,12))))</f>
        <v/>
      </c>
      <c r="CA31" s="215" t="str" cm="1">
        <f t="array" aca="1" ref="CA31" ca="1">IF($B31="","",IF(ISBLANK(INDIRECT("R9.Web!D"&amp;SUM(18,38*43,12))),"",INDIRECT("R9.Web!D"&amp;SUM(18,38*43,12))))</f>
        <v/>
      </c>
      <c r="CB31" s="215" t="str" cm="1">
        <f t="array" aca="1" ref="CB31" ca="1">IF($B31="","",IF(ISBLANK(INDIRECT("R9.Web!D"&amp;SUM(18,38*44,12))),"",INDIRECT("R9.Web!D"&amp;SUM(18,38*44,12))))</f>
        <v/>
      </c>
      <c r="CC31" s="215" t="str" cm="1">
        <f t="array" aca="1" ref="CC31" ca="1">IF($B31="","",IF(ISBLANK(INDIRECT("R9.Web!D"&amp;SUM(18,38*45,12))),"",INDIRECT("R9.Web!D"&amp;SUM(18,38*45,12))))</f>
        <v/>
      </c>
      <c r="CD31" s="215" t="str" cm="1">
        <f t="array" aca="1" ref="CD31" ca="1">IF($B31="","",IF(ISBLANK(INDIRECT("R9.Web!D"&amp;SUM(18,38*46,12))),"",INDIRECT("R9.Web!D"&amp;SUM(18,38*46,12))))</f>
        <v/>
      </c>
      <c r="CE31" s="215" t="str" cm="1">
        <f t="array" aca="1" ref="CE31" ca="1">IF($B31="","",IF(ISBLANK(INDIRECT("R9.Web!D"&amp;SUM(18,38*47,12))),"",INDIRECT("R9.Web!D"&amp;SUM(18,38*47,12))))</f>
        <v/>
      </c>
      <c r="CF31" s="215" t="str" cm="1">
        <f t="array" aca="1" ref="CF31" ca="1">IF($B31="","",IF(ISBLANK(INDIRECT("R9.Web!D"&amp;SUM(18,38*48,12))),"",INDIRECT("R9.Web!D"&amp;SUM(18,38*48,12))))</f>
        <v/>
      </c>
      <c r="CG31" s="215" t="str" cm="1">
        <f t="array" aca="1" ref="CG31" ca="1">IF($B31="","",IF(ISBLANK(INDIRECT("R9.Web!D"&amp;SUM(18,38*49,12))),"",INDIRECT("R9.Web!D"&amp;SUM(18,38*49,12))))</f>
        <v/>
      </c>
      <c r="CH31" s="215" t="str" cm="1">
        <f t="array" aca="1" ref="CH31" ca="1">IF($B31="","",IF(ISBLANK(INDIRECT("R11.Software!D"&amp;SUM(18,38*0,12))),"",INDIRECT("R11.Software!D"&amp;SUM(18,38*0,12))))</f>
        <v/>
      </c>
      <c r="CI31" s="215" t="str" cm="1">
        <f t="array" aca="1" ref="CI31" ca="1">IF($B31="","",IF(ISBLANK(INDIRECT("R11.Software!D"&amp;SUM(18,38*1,12))),"",INDIRECT("R11.Software!D"&amp;SUM(18,38*1,12))))</f>
        <v/>
      </c>
      <c r="CJ31" s="215" t="str" cm="1">
        <f t="array" aca="1" ref="CJ31" ca="1">IF($B31="","",IF(ISBLANK(INDIRECT("R11.Software!D"&amp;SUM(18,38*2,12))),"",INDIRECT("R11.Software!D"&amp;SUM(18,38*2,12))))</f>
        <v/>
      </c>
      <c r="CK31" s="215" t="str" cm="1">
        <f t="array" aca="1" ref="CK31" ca="1">IF($B31="","",IF(ISBLANK(INDIRECT("R11.Software!D"&amp;SUM(18,38*3,12))),"",INDIRECT("R11.Software!D"&amp;SUM(18,38*3,12))))</f>
        <v/>
      </c>
      <c r="CL31" s="215" t="str" cm="1">
        <f t="array" aca="1" ref="CL31" ca="1">IF($B31="","",IF(ISBLANK(INDIRECT("R11.Software!D"&amp;SUM(18,38*4,12))),"",INDIRECT("R11.Software!D"&amp;SUM(18,38*4,12))))</f>
        <v/>
      </c>
      <c r="CM31" s="215" t="str" cm="1">
        <f t="array" aca="1" ref="CM31" ca="1">IF($B31="","",IF(ISBLANK(INDIRECT("R11.Software!D"&amp;SUM(18,38*5,12))),"",INDIRECT("R11.Software!D"&amp;SUM(18,38*5,12))))</f>
        <v/>
      </c>
      <c r="CN31" s="215" t="str" cm="1">
        <f t="array" aca="1" ref="CN31" ca="1">IF($B31="","",IF(ISBLANK(INDIRECT("R12.ServiciosApoyo!D"&amp;SUM(18,38*0,12))),"",INDIRECT("R12.ServiciosApoyo!D"&amp;SUM(18,38*0,12))))</f>
        <v/>
      </c>
      <c r="CO31" s="215" t="str" cm="1">
        <f t="array" aca="1" ref="CO31" ca="1">IF($B31="","",IF(ISBLANK(INDIRECT("R12.ServiciosApoyo!D"&amp;SUM(18,38*1,12))),"",INDIRECT("R12.ServiciosApoyo!D"&amp;SUM(18,38*1,12))))</f>
        <v/>
      </c>
      <c r="CP31" s="215" t="str" cm="1">
        <f t="array" aca="1" ref="CP31" ca="1">IF($B31="","",IF(ISBLANK(INDIRECT("R12.ServiciosApoyo!D"&amp;SUM(18,38*2,12))),"",INDIRECT("R12.ServiciosApoyo!D"&amp;SUM(18,38*2,12))))</f>
        <v/>
      </c>
      <c r="CQ31" s="215" t="str" cm="1">
        <f t="array" aca="1" ref="CQ31" ca="1">IF($B31="","",IF(ISBLANK(INDIRECT("R12.ServiciosApoyo!D"&amp;SUM(18,38*3,12))),"",INDIRECT("R12.ServiciosApoyo!D"&amp;SUM(18,38*3,12))))</f>
        <v/>
      </c>
      <c r="CR31" s="215" t="str" cm="1">
        <f t="array" aca="1" ref="CR31" ca="1">IF($B31="","",IF(ISBLANK(INDIRECT("R12.ServiciosApoyo!D"&amp;SUM(18,38*4,12))),"",INDIRECT("R12.ServiciosApoyo!D"&amp;SUM(18,38*4,12))))</f>
        <v/>
      </c>
      <c r="CU31" s="100"/>
      <c r="CV31" s="29"/>
      <c r="CW31" s="29"/>
      <c r="CX31" s="29"/>
    </row>
    <row r="32" spans="2:102" ht="20.5">
      <c r="B32" s="181" t="str" cm="1">
        <f t="array" ref="B32">IFERROR(INDEX('03.Muestra'!$B$8:$B$42,SMALL(IF("Página Web"='03.Muestra'!$D$8:$D$42,ROW('03.Muestra'!$B$8:$B$42)-MIN(ROW('03.Muestra'!$D$8:$D$42))+1,""),ROW()-19)),"")</f>
        <v/>
      </c>
      <c r="C32" s="97" t="str" cm="1">
        <f t="array" ref="C32">IFERROR(INDEX('03.Muestra'!$C$8:$C$42,SMALL(IF("Página Web"='03.Muestra'!$D$8:$D$42,ROW('03.Muestra'!$C$8:$C$42)-MIN(ROW('03.Muestra'!$D$8:$D$42))+1,""),ROW()-19)),"")</f>
        <v/>
      </c>
      <c r="D32" s="98" t="str" cm="1">
        <f t="array" ref="D32">IFERROR(INDEX('03.Muestra'!$F$8:$F$42,SMALL(IF("Página Web"='03.Muestra'!$D$8:$D$42,ROW('03.Muestra'!$F$8:$F$42)-MIN(ROW('03.Muestra'!$D$8:$D$42))+1,""),ROW()-19)),"")</f>
        <v/>
      </c>
      <c r="E32" s="215" t="str" cm="1">
        <f t="array" aca="1" ref="E32" ca="1">IF($B32="","",IF(ISBLANK(INDIRECT("R5.Genéricos!D"&amp;SUM(18,38*0,13))),"",INDIRECT("R5.Genéricos!D"&amp;SUM(18,38*0,13))))</f>
        <v/>
      </c>
      <c r="F32" s="215" t="str" cm="1">
        <f t="array" aca="1" ref="F32" ca="1">IF($B32="","",IF(ISBLANK(INDIRECT("R5.Genéricos!D"&amp;SUM(18,38*1,13))),"",INDIRECT("R5.Genéricos!D"&amp;SUM(18,38*1,13))))</f>
        <v/>
      </c>
      <c r="G32" s="215" t="str" cm="1">
        <f t="array" aca="1" ref="G32" ca="1">IF($B32="","",IF(ISBLANK(INDIRECT("R5.Genéricos!D"&amp;SUM(18,38*2,13))),"",INDIRECT("R5.Genéricos!D"&amp;SUM(18,38*2,13))))</f>
        <v/>
      </c>
      <c r="H32" s="215" t="str" cm="1">
        <f t="array" aca="1" ref="H32" ca="1">IF($B32="","",IF(ISBLANK(INDIRECT("R6.Voz!D"&amp;SUM(18,38*0,13))),"",INDIRECT("R6.Voz!D"&amp;SUM(18,38*0,13))))</f>
        <v/>
      </c>
      <c r="I32" s="215" t="str" cm="1">
        <f t="array" aca="1" ref="I32" ca="1">IF($B32="","",IF(ISBLANK(INDIRECT("R6.Voz!D"&amp;SUM(18,38*1,13))),"",INDIRECT("R6.Voz!D"&amp;SUM(18,38*1,13))))</f>
        <v/>
      </c>
      <c r="J32" s="215" t="str" cm="1">
        <f t="array" aca="1" ref="J32" ca="1">IF($B32="","",IF(ISBLANK(INDIRECT("R6.Voz!D"&amp;SUM(18,38*2,13))),"",INDIRECT("R6.Voz!D"&amp;SUM(18,38*2,13))))</f>
        <v/>
      </c>
      <c r="K32" s="215" t="str" cm="1">
        <f t="array" aca="1" ref="K32" ca="1">IF($B32="","",IF(ISBLANK(INDIRECT("R6.Voz!D"&amp;SUM(18,38*3,13))),"",INDIRECT("R6.Voz!D"&amp;SUM(18,38*3,13))))</f>
        <v/>
      </c>
      <c r="L32" s="215" t="str" cm="1">
        <f t="array" aca="1" ref="L32" ca="1">IF($B32="","",IF(ISBLANK(INDIRECT("R6.Voz!D"&amp;SUM(18,38*4,13))),"",INDIRECT("R6.Voz!D"&amp;SUM(18,38*4,13))))</f>
        <v/>
      </c>
      <c r="M32" s="215" t="str" cm="1">
        <f t="array" aca="1" ref="M32" ca="1">IF($B32="","",IF(ISBLANK(INDIRECT("R6.Voz!D"&amp;SUM(18,38*5,13))),"",INDIRECT("R6.Voz!D"&amp;SUM(18,38*5,13))))</f>
        <v/>
      </c>
      <c r="N32" s="215" t="str" cm="1">
        <f t="array" aca="1" ref="N32" ca="1">IF($B32="","",IF(ISBLANK(INDIRECT("R6.Voz!D"&amp;SUM(18,38*6,13))),"",INDIRECT("R6.Voz!D"&amp;SUM(18,38*6,13))))</f>
        <v/>
      </c>
      <c r="O32" s="215" t="str" cm="1">
        <f t="array" aca="1" ref="O32" ca="1">IF($B32="","",IF(ISBLANK(INDIRECT("R6.Voz!D"&amp;SUM(18,38*7,13))),"",INDIRECT("R6.Voz!D"&amp;SUM(18,38*7,13))))</f>
        <v/>
      </c>
      <c r="P32" s="215" t="str" cm="1">
        <f t="array" aca="1" ref="P32" ca="1">IF($B32="","",IF(ISBLANK(INDIRECT("R6.Voz!D"&amp;SUM(18,38*8,13))),"",INDIRECT("R6.Voz!D"&amp;SUM(18,38*8,13))))</f>
        <v/>
      </c>
      <c r="Q32" s="215" t="str" cm="1">
        <f t="array" aca="1" ref="Q32" ca="1">IF($B32="","",IF(ISBLANK(INDIRECT("R6.Voz!D"&amp;SUM(18,38*9,13))),"",INDIRECT("R6.Voz!D"&amp;SUM(18,38*9,13))))</f>
        <v/>
      </c>
      <c r="R32" s="215" t="str" cm="1">
        <f t="array" aca="1" ref="R32" ca="1">IF($B32="","",IF(ISBLANK(INDIRECT("R6.Voz!D"&amp;SUM(18,38*10,13))),"",INDIRECT("R6.Voz!D"&amp;SUM(18,38*10,13))))</f>
        <v/>
      </c>
      <c r="S32" s="215" t="str" cm="1">
        <f t="array" aca="1" ref="S32" ca="1">IF($B32="","",IF(ISBLANK(INDIRECT("R6.Voz!D"&amp;SUM(18,38*11,13))),"",INDIRECT("R6.Voz!D"&amp;SUM(18,38*11,13))))</f>
        <v/>
      </c>
      <c r="T32" s="215" t="str" cm="1">
        <f t="array" aca="1" ref="T32" ca="1">IF($B32="","",IF(ISBLANK(INDIRECT("R6.Voz!D"&amp;SUM(18,38*12,13))),"",INDIRECT("R6.Voz!D"&amp;SUM(18,38*12,13))))</f>
        <v/>
      </c>
      <c r="U32" s="215" t="str" cm="1">
        <f t="array" aca="1" ref="U32" ca="1">IF($B32="","",IF(ISBLANK(INDIRECT("R6.Voz!D"&amp;SUM(18,38*13,13))),"",INDIRECT("R6.Voz!D"&amp;SUM(18,38*13,13))))</f>
        <v/>
      </c>
      <c r="V32" s="215" t="str" cm="1">
        <f t="array" aca="1" ref="V32" ca="1">IF($B32="","",IF(ISBLANK(INDIRECT("R6.Voz!D"&amp;SUM(18,38*14,13))),"",INDIRECT("R6.Voz!D"&amp;SUM(18,38*14,13))))</f>
        <v/>
      </c>
      <c r="W32" s="215" t="str" cm="1">
        <f t="array" aca="1" ref="W32" ca="1">IF($B32="","",IF(ISBLANK(INDIRECT("R6.Voz!D"&amp;SUM(18,38*15,13))),"",INDIRECT("R6.Voz!D"&amp;SUM(18,38*15,13))))</f>
        <v/>
      </c>
      <c r="X32" s="215" t="str" cm="1">
        <f t="array" aca="1" ref="X32" ca="1">IF($B32="","",IF(ISBLANK(INDIRECT("R6.Voz!D"&amp;SUM(18,38*16,13))),"",INDIRECT("R6.Voz!D"&amp;SUM(18,38*16,13))))</f>
        <v/>
      </c>
      <c r="Y32" s="215" t="str" cm="1">
        <f t="array" aca="1" ref="Y32" ca="1">IF($B32="","",IF(ISBLANK(INDIRECT("R6.Voz!D"&amp;SUM(18,38*17,13))),"",INDIRECT("R6.Voz!D"&amp;SUM(18,38*17,13))))</f>
        <v/>
      </c>
      <c r="Z32" s="215" t="str" cm="1">
        <f t="array" aca="1" ref="Z32" ca="1">IF($B32="","",IF(ISBLANK(INDIRECT("R6.Voz!D"&amp;SUM(18,38*18,13))),"",INDIRECT("R6.Voz!D"&amp;SUM(18,38*18,13))))</f>
        <v/>
      </c>
      <c r="AA32" s="215" t="str" cm="1">
        <f t="array" aca="1" ref="AA32" ca="1">IF($B32="","",IF(ISBLANK(INDIRECT("R7.Video!D"&amp;SUM(18,38*0,13))),"",INDIRECT("R7.Video!D"&amp;SUM(18,38*0,13))))</f>
        <v/>
      </c>
      <c r="AB32" s="215" t="str" cm="1">
        <f t="array" aca="1" ref="AB32" ca="1">IF($B32="","",IF(ISBLANK(INDIRECT("R7.Video!D"&amp;SUM(18,38*1,13))),"",INDIRECT("R7.Video!D"&amp;SUM(18,38*1,13))))</f>
        <v/>
      </c>
      <c r="AC32" s="215" t="str" cm="1">
        <f t="array" aca="1" ref="AC32" ca="1">IF($B32="","",IF(ISBLANK(INDIRECT("R7.Video!D"&amp;SUM(18,38*2,13))),"",INDIRECT("R7.Video!D"&amp;SUM(18,38*2,13))))</f>
        <v/>
      </c>
      <c r="AD32" s="215" t="str" cm="1">
        <f t="array" aca="1" ref="AD32" ca="1">IF($B32="","",IF(ISBLANK(INDIRECT("R7.Video!D"&amp;SUM(18,38*3,13))),"",INDIRECT("R7.Video!D"&amp;SUM(18,38*3,13))))</f>
        <v/>
      </c>
      <c r="AE32" s="215" t="str" cm="1">
        <f t="array" aca="1" ref="AE32" ca="1">IF($B32="","",IF(ISBLANK(INDIRECT("R7.Video!D"&amp;SUM(18,38*4,13))),"",INDIRECT("R7.Video!D"&amp;SUM(18,38*4,13))))</f>
        <v/>
      </c>
      <c r="AF32" s="215" t="str" cm="1">
        <f t="array" aca="1" ref="AF32" ca="1">IF($B32="","",IF(ISBLANK(INDIRECT("R7.Video!D"&amp;SUM(18,38*5,13))),"",INDIRECT("R7.Video!D"&amp;SUM(18,38*5,13))))</f>
        <v/>
      </c>
      <c r="AG32" s="215" t="str" cm="1">
        <f t="array" aca="1" ref="AG32" ca="1">IF($B32="","",IF(ISBLANK(INDIRECT("R7.Video!D"&amp;SUM(18,38*6,13))),"",INDIRECT("R7.Video!D"&amp;SUM(18,38*6,13))))</f>
        <v/>
      </c>
      <c r="AH32" s="215" t="str" cm="1">
        <f t="array" aca="1" ref="AH32" ca="1">IF($B32="","",IF(ISBLANK(INDIRECT("R7.Video!D"&amp;SUM(18,38*7,13))),"",INDIRECT("R7.Video!D"&amp;SUM(18,38*7,13))))</f>
        <v/>
      </c>
      <c r="AI32" s="215" t="str" cm="1">
        <f t="array" aca="1" ref="AI32" ca="1">IF($B32="","",IF(ISBLANK(INDIRECT("R7.Video!D"&amp;SUM(18,38*8,13))),"",INDIRECT("R7.Video!D"&amp;SUM(18,38*8,13))))</f>
        <v/>
      </c>
      <c r="AJ32" s="215" t="str" cm="1">
        <f t="array" aca="1" ref="AJ32" ca="1">IF($B32="","",IF(ISBLANK(INDIRECT("R9.Web!D"&amp;SUM(18,38*0,13))),"",INDIRECT("R9.Web!D"&amp;SUM(18,38*0,13))))</f>
        <v/>
      </c>
      <c r="AK32" s="215" t="str" cm="1">
        <f t="array" aca="1" ref="AK32" ca="1">IF($B32="","",IF(ISBLANK(INDIRECT("R9.Web!D"&amp;SUM(18,38*1,13))),"",INDIRECT("R9.Web!D"&amp;SUM(18,38*1,13))))</f>
        <v/>
      </c>
      <c r="AL32" s="215" t="str" cm="1">
        <f t="array" aca="1" ref="AL32" ca="1">IF($B32="","",IF(ISBLANK(INDIRECT("R9.Web!D"&amp;SUM(18,38*2,13))),"",INDIRECT("R9.Web!D"&amp;SUM(18,38*2,13))))</f>
        <v/>
      </c>
      <c r="AM32" s="215" t="str" cm="1">
        <f t="array" aca="1" ref="AM32" ca="1">IF($B32="","",IF(ISBLANK(INDIRECT("R9.Web!D"&amp;SUM(18,38*3,13))),"",INDIRECT("R9.Web!D"&amp;SUM(18,38*3,13))))</f>
        <v/>
      </c>
      <c r="AN32" s="215" t="str" cm="1">
        <f t="array" aca="1" ref="AN32" ca="1">IF($B32="","",IF(ISBLANK(INDIRECT("R9.Web!D"&amp;SUM(18,38*4,13))),"",INDIRECT("R9.Web!D"&amp;SUM(18,38*4,13))))</f>
        <v/>
      </c>
      <c r="AO32" s="215" t="str" cm="1">
        <f t="array" aca="1" ref="AO32" ca="1">IF($B32="","",IF(ISBLANK(INDIRECT("R9.Web!D"&amp;SUM(18,38*5,13))),"",INDIRECT("R9.Web!D"&amp;SUM(18,38*5,13))))</f>
        <v/>
      </c>
      <c r="AP32" s="215" t="str" cm="1">
        <f t="array" aca="1" ref="AP32" ca="1">IF($B32="","",IF(ISBLANK(INDIRECT("R9.Web!D"&amp;SUM(18,38*6,13))),"",INDIRECT("R9.Web!D"&amp;SUM(18,38*6,13))))</f>
        <v/>
      </c>
      <c r="AQ32" s="215" t="str" cm="1">
        <f t="array" aca="1" ref="AQ32" ca="1">IF($B32="","",IF(ISBLANK(INDIRECT("R9.Web!D"&amp;SUM(18,38*7,13))),"",INDIRECT("R9.Web!D"&amp;SUM(18,38*7,13))))</f>
        <v/>
      </c>
      <c r="AR32" s="215" t="str" cm="1">
        <f t="array" aca="1" ref="AR32" ca="1">IF($B32="","",IF(ISBLANK(INDIRECT("R9.Web!D"&amp;SUM(18,38*8,13))),"",INDIRECT("R9.Web!D"&amp;SUM(18,38*8,13))))</f>
        <v/>
      </c>
      <c r="AS32" s="215" t="str" cm="1">
        <f t="array" aca="1" ref="AS32" ca="1">IF($B32="","",IF(ISBLANK(INDIRECT("R9.Web!D"&amp;SUM(18,38*9,13))),"",INDIRECT("R9.Web!D"&amp;SUM(18,38*9,13))))</f>
        <v/>
      </c>
      <c r="AT32" s="215" t="str" cm="1">
        <f t="array" aca="1" ref="AT32" ca="1">IF($B32="","",IF(ISBLANK(INDIRECT("R9.Web!D"&amp;SUM(18,38*10,13))),"",INDIRECT("R9.Web!D"&amp;SUM(18,38*10,13))))</f>
        <v/>
      </c>
      <c r="AU32" s="215" t="str" cm="1">
        <f t="array" aca="1" ref="AU32" ca="1">IF($B32="","",IF(ISBLANK(INDIRECT("R9.Web!D"&amp;SUM(18,38*11,13))),"",INDIRECT("R9.Web!D"&amp;SUM(18,38*11,13))))</f>
        <v/>
      </c>
      <c r="AV32" s="215" t="str" cm="1">
        <f t="array" aca="1" ref="AV32" ca="1">IF($B32="","",IF(ISBLANK(INDIRECT("R9.Web!D"&amp;SUM(18,38*12,13))),"",INDIRECT("R9.Web!D"&amp;SUM(18,38*12,13))))</f>
        <v/>
      </c>
      <c r="AW32" s="215" t="str" cm="1">
        <f t="array" aca="1" ref="AW32" ca="1">IF($B32="","",IF(ISBLANK(INDIRECT("R9.Web!D"&amp;SUM(18,38*13,13))),"",INDIRECT("R9.Web!D"&amp;SUM(18,38*13,13))))</f>
        <v/>
      </c>
      <c r="AX32" s="215" t="str" cm="1">
        <f t="array" aca="1" ref="AX32" ca="1">IF($B32="","",IF(ISBLANK(INDIRECT("R9.Web!D"&amp;SUM(18,38*14,13))),"",INDIRECT("R9.Web!D"&amp;SUM(18,38*14,13))))</f>
        <v/>
      </c>
      <c r="AY32" s="215" t="str" cm="1">
        <f t="array" aca="1" ref="AY32" ca="1">IF($B32="","",IF(ISBLANK(INDIRECT("R9.Web!D"&amp;SUM(18,38*15,13))),"",INDIRECT("R9.Web!D"&amp;SUM(18,38*15,13))))</f>
        <v/>
      </c>
      <c r="AZ32" s="215" t="str" cm="1">
        <f t="array" aca="1" ref="AZ32" ca="1">IF($B32="","",IF(ISBLANK(INDIRECT("R9.Web!D"&amp;SUM(18,38*16,13))),"",INDIRECT("R9.Web!D"&amp;SUM(18,38*16,13))))</f>
        <v/>
      </c>
      <c r="BA32" s="215" t="str" cm="1">
        <f t="array" aca="1" ref="BA32" ca="1">IF($B32="","",IF(ISBLANK(INDIRECT("R9.Web!D"&amp;SUM(18,38*17,13))),"",INDIRECT("R9.Web!D"&amp;SUM(18,38*17,13))))</f>
        <v/>
      </c>
      <c r="BB32" s="215" t="str" cm="1">
        <f t="array" aca="1" ref="BB32" ca="1">IF($B32="","",IF(ISBLANK(INDIRECT("R9.Web!D"&amp;SUM(18,38*18,13))),"",INDIRECT("R9.Web!D"&amp;SUM(18,38*18,13))))</f>
        <v/>
      </c>
      <c r="BC32" s="215" t="str" cm="1">
        <f t="array" aca="1" ref="BC32" ca="1">IF($B32="","",IF(ISBLANK(INDIRECT("R9.Web!D"&amp;SUM(18,38*19,13))),"",INDIRECT("R9.Web!D"&amp;SUM(18,38*19,13))))</f>
        <v/>
      </c>
      <c r="BD32" s="215" t="str" cm="1">
        <f t="array" aca="1" ref="BD32" ca="1">IF($B32="","",IF(ISBLANK(INDIRECT("R9.Web!D"&amp;SUM(18,38*20,13))),"",INDIRECT("R9.Web!D"&amp;SUM(18,38*20,13))))</f>
        <v/>
      </c>
      <c r="BE32" s="215" t="str" cm="1">
        <f t="array" aca="1" ref="BE32" ca="1">IF($B32="","",IF(ISBLANK(INDIRECT("R9.Web!D"&amp;SUM(18,38*21,13))),"",INDIRECT("R9.Web!D"&amp;SUM(18,38*21,13))))</f>
        <v/>
      </c>
      <c r="BF32" s="215" t="str" cm="1">
        <f t="array" aca="1" ref="BF32" ca="1">IF($B32="","",IF(ISBLANK(INDIRECT("R9.Web!D"&amp;SUM(18,38*22,13))),"",INDIRECT("R9.Web!D"&amp;SUM(18,38*22,13))))</f>
        <v/>
      </c>
      <c r="BG32" s="215" t="str" cm="1">
        <f t="array" aca="1" ref="BG32" ca="1">IF($B32="","",IF(ISBLANK(INDIRECT("R9.Web!D"&amp;SUM(18,38*23,13))),"",INDIRECT("R9.Web!D"&amp;SUM(18,38*23,13))))</f>
        <v/>
      </c>
      <c r="BH32" s="215" t="str" cm="1">
        <f t="array" aca="1" ref="BH32" ca="1">IF($B32="","",IF(ISBLANK(INDIRECT("R9.Web!D"&amp;SUM(18,38*24,13))),"",INDIRECT("R9.Web!D"&amp;SUM(18,38*24,13))))</f>
        <v/>
      </c>
      <c r="BI32" s="215" t="str" cm="1">
        <f t="array" aca="1" ref="BI32" ca="1">IF($B32="","",IF(ISBLANK(INDIRECT("R9.Web!D"&amp;SUM(18,38*25,13))),"",INDIRECT("R9.Web!D"&amp;SUM(18,38*25,13))))</f>
        <v/>
      </c>
      <c r="BJ32" s="215" t="str" cm="1">
        <f t="array" aca="1" ref="BJ32" ca="1">IF($B32="","",IF(ISBLANK(INDIRECT("R9.Web!D"&amp;SUM(18,38*26,13))),"",INDIRECT("R9.Web!D"&amp;SUM(18,38*26,13))))</f>
        <v/>
      </c>
      <c r="BK32" s="215" t="str" cm="1">
        <f t="array" aca="1" ref="BK32" ca="1">IF($B32="","",IF(ISBLANK(INDIRECT("R9.Web!D"&amp;SUM(18,38*27,13))),"",INDIRECT("R9.Web!D"&amp;SUM(18,38*27,13))))</f>
        <v/>
      </c>
      <c r="BL32" s="215" t="str" cm="1">
        <f t="array" aca="1" ref="BL32" ca="1">IF($B32="","",IF(ISBLANK(INDIRECT("R9.Web!D"&amp;SUM(18,38*28,13))),"",INDIRECT("R9.Web!D"&amp;SUM(18,38*28,13))))</f>
        <v/>
      </c>
      <c r="BM32" s="215" t="str" cm="1">
        <f t="array" aca="1" ref="BM32" ca="1">IF($B32="","",IF(ISBLANK(INDIRECT("R9.Web!D"&amp;SUM(18,38*29,13))),"",INDIRECT("R9.Web!D"&amp;SUM(18,38*29,13))))</f>
        <v/>
      </c>
      <c r="BN32" s="215" t="str" cm="1">
        <f t="array" aca="1" ref="BN32" ca="1">IF($B32="","",IF(ISBLANK(INDIRECT("R9.Web!D"&amp;SUM(18,38*30,13))),"",INDIRECT("R9.Web!D"&amp;SUM(18,38*30,13))))</f>
        <v/>
      </c>
      <c r="BO32" s="215" t="str" cm="1">
        <f t="array" aca="1" ref="BO32" ca="1">IF($B32="","",IF(ISBLANK(INDIRECT("R9.Web!D"&amp;SUM(18,38*31,13))),"",INDIRECT("R9.Web!D"&amp;SUM(18,38*31,13))))</f>
        <v/>
      </c>
      <c r="BP32" s="215" t="str" cm="1">
        <f t="array" aca="1" ref="BP32" ca="1">IF($B32="","",IF(ISBLANK(INDIRECT("R9.Web!D"&amp;SUM(18,38*32,13))),"",INDIRECT("R9.Web!D"&amp;SUM(18,38*32,13))))</f>
        <v/>
      </c>
      <c r="BQ32" s="215" t="str" cm="1">
        <f t="array" aca="1" ref="BQ32" ca="1">IF($B32="","",IF(ISBLANK(INDIRECT("R9.Web!D"&amp;SUM(18,38*33,13))),"",INDIRECT("R9.Web!D"&amp;SUM(18,38*33,13))))</f>
        <v/>
      </c>
      <c r="BR32" s="215" t="str" cm="1">
        <f t="array" aca="1" ref="BR32" ca="1">IF($B32="","",IF(ISBLANK(INDIRECT("R9.Web!D"&amp;SUM(18,38*34,13))),"",INDIRECT("R9.Web!D"&amp;SUM(18,38*34,13))))</f>
        <v/>
      </c>
      <c r="BS32" s="215" t="str" cm="1">
        <f t="array" aca="1" ref="BS32" ca="1">IF($B32="","",IF(ISBLANK(INDIRECT("R9.Web!D"&amp;SUM(18,38*35,13))),"",INDIRECT("R9.Web!D"&amp;SUM(18,38*35,13))))</f>
        <v/>
      </c>
      <c r="BT32" s="215" t="str" cm="1">
        <f t="array" aca="1" ref="BT32" ca="1">IF($B32="","",IF(ISBLANK(INDIRECT("R9.Web!D"&amp;SUM(18,38*36,13))),"",INDIRECT("R9.Web!D"&amp;SUM(18,38*36,13))))</f>
        <v/>
      </c>
      <c r="BU32" s="215" t="str" cm="1">
        <f t="array" aca="1" ref="BU32" ca="1">IF($B32="","",IF(ISBLANK(INDIRECT("R9.Web!D"&amp;SUM(18,38*37,13))),"",INDIRECT("R9.Web!D"&amp;SUM(18,38*37,13))))</f>
        <v/>
      </c>
      <c r="BV32" s="215" t="str" cm="1">
        <f t="array" aca="1" ref="BV32" ca="1">IF($B32="","",IF(ISBLANK(INDIRECT("R9.Web!D"&amp;SUM(18,38*38,13))),"",INDIRECT("R9.Web!D"&amp;SUM(18,38*38,13))))</f>
        <v/>
      </c>
      <c r="BW32" s="215" t="str" cm="1">
        <f t="array" aca="1" ref="BW32" ca="1">IF($B32="","",IF(ISBLANK(INDIRECT("R9.Web!D"&amp;SUM(18,38*39,13))),"",INDIRECT("R9.Web!D"&amp;SUM(18,38*39,13))))</f>
        <v/>
      </c>
      <c r="BX32" s="215" t="str" cm="1">
        <f t="array" aca="1" ref="BX32" ca="1">IF($B32="","",IF(ISBLANK(INDIRECT("R9.Web!D"&amp;SUM(18,38*40,13))),"",INDIRECT("R9.Web!D"&amp;SUM(18,38*40,13))))</f>
        <v/>
      </c>
      <c r="BY32" s="215" t="str" cm="1">
        <f t="array" aca="1" ref="BY32" ca="1">IF($B32="","",IF(ISBLANK(INDIRECT("R9.Web!D"&amp;SUM(18,38*41,13))),"",INDIRECT("R9.Web!D"&amp;SUM(18,38*41,13))))</f>
        <v/>
      </c>
      <c r="BZ32" s="215" t="str" cm="1">
        <f t="array" aca="1" ref="BZ32" ca="1">IF($B32="","",IF(ISBLANK(INDIRECT("R9.Web!D"&amp;SUM(18,38*42,13))),"",INDIRECT("R9.Web!D"&amp;SUM(18,38*42,13))))</f>
        <v/>
      </c>
      <c r="CA32" s="215" t="str" cm="1">
        <f t="array" aca="1" ref="CA32" ca="1">IF($B32="","",IF(ISBLANK(INDIRECT("R9.Web!D"&amp;SUM(18,38*43,13))),"",INDIRECT("R9.Web!D"&amp;SUM(18,38*43,13))))</f>
        <v/>
      </c>
      <c r="CB32" s="215" t="str" cm="1">
        <f t="array" aca="1" ref="CB32" ca="1">IF($B32="","",IF(ISBLANK(INDIRECT("R9.Web!D"&amp;SUM(18,38*44,13))),"",INDIRECT("R9.Web!D"&amp;SUM(18,38*44,13))))</f>
        <v/>
      </c>
      <c r="CC32" s="215" t="str" cm="1">
        <f t="array" aca="1" ref="CC32" ca="1">IF($B32="","",IF(ISBLANK(INDIRECT("R9.Web!D"&amp;SUM(18,38*45,13))),"",INDIRECT("R9.Web!D"&amp;SUM(18,38*45,13))))</f>
        <v/>
      </c>
      <c r="CD32" s="215" t="str" cm="1">
        <f t="array" aca="1" ref="CD32" ca="1">IF($B32="","",IF(ISBLANK(INDIRECT("R9.Web!D"&amp;SUM(18,38*46,13))),"",INDIRECT("R9.Web!D"&amp;SUM(18,38*46,13))))</f>
        <v/>
      </c>
      <c r="CE32" s="215" t="str" cm="1">
        <f t="array" aca="1" ref="CE32" ca="1">IF($B32="","",IF(ISBLANK(INDIRECT("R9.Web!D"&amp;SUM(18,38*47,13))),"",INDIRECT("R9.Web!D"&amp;SUM(18,38*47,13))))</f>
        <v/>
      </c>
      <c r="CF32" s="215" t="str" cm="1">
        <f t="array" aca="1" ref="CF32" ca="1">IF($B32="","",IF(ISBLANK(INDIRECT("R9.Web!D"&amp;SUM(18,38*48,13))),"",INDIRECT("R9.Web!D"&amp;SUM(18,38*48,13))))</f>
        <v/>
      </c>
      <c r="CG32" s="215" t="str" cm="1">
        <f t="array" aca="1" ref="CG32" ca="1">IF($B32="","",IF(ISBLANK(INDIRECT("R9.Web!D"&amp;SUM(18,38*49,13))),"",INDIRECT("R9.Web!D"&amp;SUM(18,38*49,13))))</f>
        <v/>
      </c>
      <c r="CH32" s="215" t="str" cm="1">
        <f t="array" aca="1" ref="CH32" ca="1">IF($B32="","",IF(ISBLANK(INDIRECT("R11.Software!D"&amp;SUM(18,38*0,13))),"",INDIRECT("R11.Software!D"&amp;SUM(18,38*0,13))))</f>
        <v/>
      </c>
      <c r="CI32" s="215" t="str" cm="1">
        <f t="array" aca="1" ref="CI32" ca="1">IF($B32="","",IF(ISBLANK(INDIRECT("R11.Software!D"&amp;SUM(18,38*1,13))),"",INDIRECT("R11.Software!D"&amp;SUM(18,38*1,13))))</f>
        <v/>
      </c>
      <c r="CJ32" s="215" t="str" cm="1">
        <f t="array" aca="1" ref="CJ32" ca="1">IF($B32="","",IF(ISBLANK(INDIRECT("R11.Software!D"&amp;SUM(18,38*2,13))),"",INDIRECT("R11.Software!D"&amp;SUM(18,38*2,13))))</f>
        <v/>
      </c>
      <c r="CK32" s="215" t="str" cm="1">
        <f t="array" aca="1" ref="CK32" ca="1">IF($B32="","",IF(ISBLANK(INDIRECT("R11.Software!D"&amp;SUM(18,38*3,13))),"",INDIRECT("R11.Software!D"&amp;SUM(18,38*3,13))))</f>
        <v/>
      </c>
      <c r="CL32" s="215" t="str" cm="1">
        <f t="array" aca="1" ref="CL32" ca="1">IF($B32="","",IF(ISBLANK(INDIRECT("R11.Software!D"&amp;SUM(18,38*4,13))),"",INDIRECT("R11.Software!D"&amp;SUM(18,38*4,13))))</f>
        <v/>
      </c>
      <c r="CM32" s="215" t="str" cm="1">
        <f t="array" aca="1" ref="CM32" ca="1">IF($B32="","",IF(ISBLANK(INDIRECT("R11.Software!D"&amp;SUM(18,38*5,13))),"",INDIRECT("R11.Software!D"&amp;SUM(18,38*5,13))))</f>
        <v/>
      </c>
      <c r="CN32" s="215" t="str" cm="1">
        <f t="array" aca="1" ref="CN32" ca="1">IF($B32="","",IF(ISBLANK(INDIRECT("R12.ServiciosApoyo!D"&amp;SUM(18,38*0,13))),"",INDIRECT("R12.ServiciosApoyo!D"&amp;SUM(18,38*0,13))))</f>
        <v/>
      </c>
      <c r="CO32" s="215" t="str" cm="1">
        <f t="array" aca="1" ref="CO32" ca="1">IF($B32="","",IF(ISBLANK(INDIRECT("R12.ServiciosApoyo!D"&amp;SUM(18,38*1,13))),"",INDIRECT("R12.ServiciosApoyo!D"&amp;SUM(18,38*1,13))))</f>
        <v/>
      </c>
      <c r="CP32" s="215" t="str" cm="1">
        <f t="array" aca="1" ref="CP32" ca="1">IF($B32="","",IF(ISBLANK(INDIRECT("R12.ServiciosApoyo!D"&amp;SUM(18,38*2,13))),"",INDIRECT("R12.ServiciosApoyo!D"&amp;SUM(18,38*2,13))))</f>
        <v/>
      </c>
      <c r="CQ32" s="215" t="str" cm="1">
        <f t="array" aca="1" ref="CQ32" ca="1">IF($B32="","",IF(ISBLANK(INDIRECT("R12.ServiciosApoyo!D"&amp;SUM(18,38*3,13))),"",INDIRECT("R12.ServiciosApoyo!D"&amp;SUM(18,38*3,13))))</f>
        <v/>
      </c>
      <c r="CR32" s="215" t="str" cm="1">
        <f t="array" aca="1" ref="CR32" ca="1">IF($B32="","",IF(ISBLANK(INDIRECT("R12.ServiciosApoyo!D"&amp;SUM(18,38*4,13))),"",INDIRECT("R12.ServiciosApoyo!D"&amp;SUM(18,38*4,13))))</f>
        <v/>
      </c>
      <c r="CU32" s="100"/>
      <c r="CV32" s="29"/>
      <c r="CW32" s="29"/>
      <c r="CX32" s="29"/>
    </row>
    <row r="33" spans="2:102" ht="20.5">
      <c r="B33" s="181" t="str" cm="1">
        <f t="array" ref="B33">IFERROR(INDEX('03.Muestra'!$B$8:$B$42,SMALL(IF("Página Web"='03.Muestra'!$D$8:$D$42,ROW('03.Muestra'!$B$8:$B$42)-MIN(ROW('03.Muestra'!$D$8:$D$42))+1,""),ROW()-19)),"")</f>
        <v/>
      </c>
      <c r="C33" s="97" t="str" cm="1">
        <f t="array" ref="C33">IFERROR(INDEX('03.Muestra'!$C$8:$C$42,SMALL(IF("Página Web"='03.Muestra'!$D$8:$D$42,ROW('03.Muestra'!$C$8:$C$42)-MIN(ROW('03.Muestra'!$D$8:$D$42))+1,""),ROW()-19)),"")</f>
        <v/>
      </c>
      <c r="D33" s="98" t="str" cm="1">
        <f t="array" ref="D33">IFERROR(INDEX('03.Muestra'!$F$8:$F$42,SMALL(IF("Página Web"='03.Muestra'!$D$8:$D$42,ROW('03.Muestra'!$F$8:$F$42)-MIN(ROW('03.Muestra'!$D$8:$D$42))+1,""),ROW()-19)),"")</f>
        <v/>
      </c>
      <c r="E33" s="215" t="str" cm="1">
        <f t="array" aca="1" ref="E33" ca="1">IF($B33="","",IF(ISBLANK(INDIRECT("R5.Genéricos!D"&amp;SUM(18,38*0,14))),"",INDIRECT("R5.Genéricos!D"&amp;SUM(18,38*0,14))))</f>
        <v/>
      </c>
      <c r="F33" s="215" t="str" cm="1">
        <f t="array" aca="1" ref="F33" ca="1">IF($B33="","",IF(ISBLANK(INDIRECT("R5.Genéricos!D"&amp;SUM(18,38*1,14))),"",INDIRECT("R5.Genéricos!D"&amp;SUM(18,38*1,14))))</f>
        <v/>
      </c>
      <c r="G33" s="215" t="str" cm="1">
        <f t="array" aca="1" ref="G33" ca="1">IF($B33="","",IF(ISBLANK(INDIRECT("R5.Genéricos!D"&amp;SUM(18,38*2,14))),"",INDIRECT("R5.Genéricos!D"&amp;SUM(18,38*2,14))))</f>
        <v/>
      </c>
      <c r="H33" s="215" t="str" cm="1">
        <f t="array" aca="1" ref="H33" ca="1">IF($B33="","",IF(ISBLANK(INDIRECT("R6.Voz!D"&amp;SUM(18,38*0,14))),"",INDIRECT("R6.Voz!D"&amp;SUM(18,38*0,14))))</f>
        <v/>
      </c>
      <c r="I33" s="215" t="str" cm="1">
        <f t="array" aca="1" ref="I33" ca="1">IF($B33="","",IF(ISBLANK(INDIRECT("R6.Voz!D"&amp;SUM(18,38*1,14))),"",INDIRECT("R6.Voz!D"&amp;SUM(18,38*1,14))))</f>
        <v/>
      </c>
      <c r="J33" s="215" t="str" cm="1">
        <f t="array" aca="1" ref="J33" ca="1">IF($B33="","",IF(ISBLANK(INDIRECT("R6.Voz!D"&amp;SUM(18,38*2,14))),"",INDIRECT("R6.Voz!D"&amp;SUM(18,38*2,14))))</f>
        <v/>
      </c>
      <c r="K33" s="215" t="str" cm="1">
        <f t="array" aca="1" ref="K33" ca="1">IF($B33="","",IF(ISBLANK(INDIRECT("R6.Voz!D"&amp;SUM(18,38*3,14))),"",INDIRECT("R6.Voz!D"&amp;SUM(18,38*3,14))))</f>
        <v/>
      </c>
      <c r="L33" s="215" t="str" cm="1">
        <f t="array" aca="1" ref="L33" ca="1">IF($B33="","",IF(ISBLANK(INDIRECT("R6.Voz!D"&amp;SUM(18,38*4,14))),"",INDIRECT("R6.Voz!D"&amp;SUM(18,38*4,14))))</f>
        <v/>
      </c>
      <c r="M33" s="215" t="str" cm="1">
        <f t="array" aca="1" ref="M33" ca="1">IF($B33="","",IF(ISBLANK(INDIRECT("R6.Voz!D"&amp;SUM(18,38*5,14))),"",INDIRECT("R6.Voz!D"&amp;SUM(18,38*5,14))))</f>
        <v/>
      </c>
      <c r="N33" s="215" t="str" cm="1">
        <f t="array" aca="1" ref="N33" ca="1">IF($B33="","",IF(ISBLANK(INDIRECT("R6.Voz!D"&amp;SUM(18,38*6,14))),"",INDIRECT("R6.Voz!D"&amp;SUM(18,38*6,14))))</f>
        <v/>
      </c>
      <c r="O33" s="215" t="str" cm="1">
        <f t="array" aca="1" ref="O33" ca="1">IF($B33="","",IF(ISBLANK(INDIRECT("R6.Voz!D"&amp;SUM(18,38*7,14))),"",INDIRECT("R6.Voz!D"&amp;SUM(18,38*7,14))))</f>
        <v/>
      </c>
      <c r="P33" s="215" t="str" cm="1">
        <f t="array" aca="1" ref="P33" ca="1">IF($B33="","",IF(ISBLANK(INDIRECT("R6.Voz!D"&amp;SUM(18,38*8,14))),"",INDIRECT("R6.Voz!D"&amp;SUM(18,38*8,14))))</f>
        <v/>
      </c>
      <c r="Q33" s="215" t="str" cm="1">
        <f t="array" aca="1" ref="Q33" ca="1">IF($B33="","",IF(ISBLANK(INDIRECT("R6.Voz!D"&amp;SUM(18,38*9,14))),"",INDIRECT("R6.Voz!D"&amp;SUM(18,38*9,14))))</f>
        <v/>
      </c>
      <c r="R33" s="215" t="str" cm="1">
        <f t="array" aca="1" ref="R33" ca="1">IF($B33="","",IF(ISBLANK(INDIRECT("R6.Voz!D"&amp;SUM(18,38*10,14))),"",INDIRECT("R6.Voz!D"&amp;SUM(18,38*10,14))))</f>
        <v/>
      </c>
      <c r="S33" s="215" t="str" cm="1">
        <f t="array" aca="1" ref="S33" ca="1">IF($B33="","",IF(ISBLANK(INDIRECT("R6.Voz!D"&amp;SUM(18,38*11,14))),"",INDIRECT("R6.Voz!D"&amp;SUM(18,38*11,14))))</f>
        <v/>
      </c>
      <c r="T33" s="215" t="str" cm="1">
        <f t="array" aca="1" ref="T33" ca="1">IF($B33="","",IF(ISBLANK(INDIRECT("R6.Voz!D"&amp;SUM(18,38*12,14))),"",INDIRECT("R6.Voz!D"&amp;SUM(18,38*12,14))))</f>
        <v/>
      </c>
      <c r="U33" s="215" t="str" cm="1">
        <f t="array" aca="1" ref="U33" ca="1">IF($B33="","",IF(ISBLANK(INDIRECT("R6.Voz!D"&amp;SUM(18,38*13,14))),"",INDIRECT("R6.Voz!D"&amp;SUM(18,38*13,14))))</f>
        <v/>
      </c>
      <c r="V33" s="215" t="str" cm="1">
        <f t="array" aca="1" ref="V33" ca="1">IF($B33="","",IF(ISBLANK(INDIRECT("R6.Voz!D"&amp;SUM(18,38*14,14))),"",INDIRECT("R6.Voz!D"&amp;SUM(18,38*14,14))))</f>
        <v/>
      </c>
      <c r="W33" s="215" t="str" cm="1">
        <f t="array" aca="1" ref="W33" ca="1">IF($B33="","",IF(ISBLANK(INDIRECT("R6.Voz!D"&amp;SUM(18,38*15,14))),"",INDIRECT("R6.Voz!D"&amp;SUM(18,38*15,14))))</f>
        <v/>
      </c>
      <c r="X33" s="215" t="str" cm="1">
        <f t="array" aca="1" ref="X33" ca="1">IF($B33="","",IF(ISBLANK(INDIRECT("R6.Voz!D"&amp;SUM(18,38*16,14))),"",INDIRECT("R6.Voz!D"&amp;SUM(18,38*16,14))))</f>
        <v/>
      </c>
      <c r="Y33" s="215" t="str" cm="1">
        <f t="array" aca="1" ref="Y33" ca="1">IF($B33="","",IF(ISBLANK(INDIRECT("R6.Voz!D"&amp;SUM(18,38*17,14))),"",INDIRECT("R6.Voz!D"&amp;SUM(18,38*17,14))))</f>
        <v/>
      </c>
      <c r="Z33" s="215" t="str" cm="1">
        <f t="array" aca="1" ref="Z33" ca="1">IF($B33="","",IF(ISBLANK(INDIRECT("R6.Voz!D"&amp;SUM(18,38*18,14))),"",INDIRECT("R6.Voz!D"&amp;SUM(18,38*18,14))))</f>
        <v/>
      </c>
      <c r="AA33" s="215" t="str" cm="1">
        <f t="array" aca="1" ref="AA33" ca="1">IF($B33="","",IF(ISBLANK(INDIRECT("R7.Video!D"&amp;SUM(18,38*0,14))),"",INDIRECT("R7.Video!D"&amp;SUM(18,38*0,14))))</f>
        <v/>
      </c>
      <c r="AB33" s="215" t="str" cm="1">
        <f t="array" aca="1" ref="AB33" ca="1">IF($B33="","",IF(ISBLANK(INDIRECT("R7.Video!D"&amp;SUM(18,38*1,14))),"",INDIRECT("R7.Video!D"&amp;SUM(18,38*1,14))))</f>
        <v/>
      </c>
      <c r="AC33" s="215" t="str" cm="1">
        <f t="array" aca="1" ref="AC33" ca="1">IF($B33="","",IF(ISBLANK(INDIRECT("R7.Video!D"&amp;SUM(18,38*2,14))),"",INDIRECT("R7.Video!D"&amp;SUM(18,38*2,14))))</f>
        <v/>
      </c>
      <c r="AD33" s="215" t="str" cm="1">
        <f t="array" aca="1" ref="AD33" ca="1">IF($B33="","",IF(ISBLANK(INDIRECT("R7.Video!D"&amp;SUM(18,38*3,14))),"",INDIRECT("R7.Video!D"&amp;SUM(18,38*3,14))))</f>
        <v/>
      </c>
      <c r="AE33" s="215" t="str" cm="1">
        <f t="array" aca="1" ref="AE33" ca="1">IF($B33="","",IF(ISBLANK(INDIRECT("R7.Video!D"&amp;SUM(18,38*4,14))),"",INDIRECT("R7.Video!D"&amp;SUM(18,38*4,14))))</f>
        <v/>
      </c>
      <c r="AF33" s="215" t="str" cm="1">
        <f t="array" aca="1" ref="AF33" ca="1">IF($B33="","",IF(ISBLANK(INDIRECT("R7.Video!D"&amp;SUM(18,38*5,14))),"",INDIRECT("R7.Video!D"&amp;SUM(18,38*5,14))))</f>
        <v/>
      </c>
      <c r="AG33" s="215" t="str" cm="1">
        <f t="array" aca="1" ref="AG33" ca="1">IF($B33="","",IF(ISBLANK(INDIRECT("R7.Video!D"&amp;SUM(18,38*6,14))),"",INDIRECT("R7.Video!D"&amp;SUM(18,38*6,14))))</f>
        <v/>
      </c>
      <c r="AH33" s="215" t="str" cm="1">
        <f t="array" aca="1" ref="AH33" ca="1">IF($B33="","",IF(ISBLANK(INDIRECT("R7.Video!D"&amp;SUM(18,38*7,14))),"",INDIRECT("R7.Video!D"&amp;SUM(18,38*7,14))))</f>
        <v/>
      </c>
      <c r="AI33" s="215" t="str" cm="1">
        <f t="array" aca="1" ref="AI33" ca="1">IF($B33="","",IF(ISBLANK(INDIRECT("R7.Video!D"&amp;SUM(18,38*8,14))),"",INDIRECT("R7.Video!D"&amp;SUM(18,38*8,14))))</f>
        <v/>
      </c>
      <c r="AJ33" s="215" t="str" cm="1">
        <f t="array" aca="1" ref="AJ33" ca="1">IF($B33="","",IF(ISBLANK(INDIRECT("R9.Web!D"&amp;SUM(18,38*0,14))),"",INDIRECT("R9.Web!D"&amp;SUM(18,38*0,14))))</f>
        <v/>
      </c>
      <c r="AK33" s="215" t="str" cm="1">
        <f t="array" aca="1" ref="AK33" ca="1">IF($B33="","",IF(ISBLANK(INDIRECT("R9.Web!D"&amp;SUM(18,38*1,14))),"",INDIRECT("R9.Web!D"&amp;SUM(18,38*1,14))))</f>
        <v/>
      </c>
      <c r="AL33" s="215" t="str" cm="1">
        <f t="array" aca="1" ref="AL33" ca="1">IF($B33="","",IF(ISBLANK(INDIRECT("R9.Web!D"&amp;SUM(18,38*2,14))),"",INDIRECT("R9.Web!D"&amp;SUM(18,38*2,14))))</f>
        <v/>
      </c>
      <c r="AM33" s="215" t="str" cm="1">
        <f t="array" aca="1" ref="AM33" ca="1">IF($B33="","",IF(ISBLANK(INDIRECT("R9.Web!D"&amp;SUM(18,38*3,14))),"",INDIRECT("R9.Web!D"&amp;SUM(18,38*3,14))))</f>
        <v/>
      </c>
      <c r="AN33" s="215" t="str" cm="1">
        <f t="array" aca="1" ref="AN33" ca="1">IF($B33="","",IF(ISBLANK(INDIRECT("R9.Web!D"&amp;SUM(18,38*4,14))),"",INDIRECT("R9.Web!D"&amp;SUM(18,38*4,14))))</f>
        <v/>
      </c>
      <c r="AO33" s="215" t="str" cm="1">
        <f t="array" aca="1" ref="AO33" ca="1">IF($B33="","",IF(ISBLANK(INDIRECT("R9.Web!D"&amp;SUM(18,38*5,14))),"",INDIRECT("R9.Web!D"&amp;SUM(18,38*5,14))))</f>
        <v/>
      </c>
      <c r="AP33" s="215" t="str" cm="1">
        <f t="array" aca="1" ref="AP33" ca="1">IF($B33="","",IF(ISBLANK(INDIRECT("R9.Web!D"&amp;SUM(18,38*6,14))),"",INDIRECT("R9.Web!D"&amp;SUM(18,38*6,14))))</f>
        <v/>
      </c>
      <c r="AQ33" s="215" t="str" cm="1">
        <f t="array" aca="1" ref="AQ33" ca="1">IF($B33="","",IF(ISBLANK(INDIRECT("R9.Web!D"&amp;SUM(18,38*7,14))),"",INDIRECT("R9.Web!D"&amp;SUM(18,38*7,14))))</f>
        <v/>
      </c>
      <c r="AR33" s="215" t="str" cm="1">
        <f t="array" aca="1" ref="AR33" ca="1">IF($B33="","",IF(ISBLANK(INDIRECT("R9.Web!D"&amp;SUM(18,38*8,14))),"",INDIRECT("R9.Web!D"&amp;SUM(18,38*8,14))))</f>
        <v/>
      </c>
      <c r="AS33" s="215" t="str" cm="1">
        <f t="array" aca="1" ref="AS33" ca="1">IF($B33="","",IF(ISBLANK(INDIRECT("R9.Web!D"&amp;SUM(18,38*9,14))),"",INDIRECT("R9.Web!D"&amp;SUM(18,38*9,14))))</f>
        <v/>
      </c>
      <c r="AT33" s="215" t="str" cm="1">
        <f t="array" aca="1" ref="AT33" ca="1">IF($B33="","",IF(ISBLANK(INDIRECT("R9.Web!D"&amp;SUM(18,38*10,14))),"",INDIRECT("R9.Web!D"&amp;SUM(18,38*10,14))))</f>
        <v/>
      </c>
      <c r="AU33" s="215" t="str" cm="1">
        <f t="array" aca="1" ref="AU33" ca="1">IF($B33="","",IF(ISBLANK(INDIRECT("R9.Web!D"&amp;SUM(18,38*11,14))),"",INDIRECT("R9.Web!D"&amp;SUM(18,38*11,14))))</f>
        <v/>
      </c>
      <c r="AV33" s="215" t="str" cm="1">
        <f t="array" aca="1" ref="AV33" ca="1">IF($B33="","",IF(ISBLANK(INDIRECT("R9.Web!D"&amp;SUM(18,38*12,14))),"",INDIRECT("R9.Web!D"&amp;SUM(18,38*12,14))))</f>
        <v/>
      </c>
      <c r="AW33" s="215" t="str" cm="1">
        <f t="array" aca="1" ref="AW33" ca="1">IF($B33="","",IF(ISBLANK(INDIRECT("R9.Web!D"&amp;SUM(18,38*13,14))),"",INDIRECT("R9.Web!D"&amp;SUM(18,38*13,14))))</f>
        <v/>
      </c>
      <c r="AX33" s="215" t="str" cm="1">
        <f t="array" aca="1" ref="AX33" ca="1">IF($B33="","",IF(ISBLANK(INDIRECT("R9.Web!D"&amp;SUM(18,38*14,14))),"",INDIRECT("R9.Web!D"&amp;SUM(18,38*14,14))))</f>
        <v/>
      </c>
      <c r="AY33" s="215" t="str" cm="1">
        <f t="array" aca="1" ref="AY33" ca="1">IF($B33="","",IF(ISBLANK(INDIRECT("R9.Web!D"&amp;SUM(18,38*15,14))),"",INDIRECT("R9.Web!D"&amp;SUM(18,38*15,14))))</f>
        <v/>
      </c>
      <c r="AZ33" s="215" t="str" cm="1">
        <f t="array" aca="1" ref="AZ33" ca="1">IF($B33="","",IF(ISBLANK(INDIRECT("R9.Web!D"&amp;SUM(18,38*16,14))),"",INDIRECT("R9.Web!D"&amp;SUM(18,38*16,14))))</f>
        <v/>
      </c>
      <c r="BA33" s="215" t="str" cm="1">
        <f t="array" aca="1" ref="BA33" ca="1">IF($B33="","",IF(ISBLANK(INDIRECT("R9.Web!D"&amp;SUM(18,38*17,14))),"",INDIRECT("R9.Web!D"&amp;SUM(18,38*17,14))))</f>
        <v/>
      </c>
      <c r="BB33" s="215" t="str" cm="1">
        <f t="array" aca="1" ref="BB33" ca="1">IF($B33="","",IF(ISBLANK(INDIRECT("R9.Web!D"&amp;SUM(18,38*18,14))),"",INDIRECT("R9.Web!D"&amp;SUM(18,38*18,14))))</f>
        <v/>
      </c>
      <c r="BC33" s="215" t="str" cm="1">
        <f t="array" aca="1" ref="BC33" ca="1">IF($B33="","",IF(ISBLANK(INDIRECT("R9.Web!D"&amp;SUM(18,38*19,14))),"",INDIRECT("R9.Web!D"&amp;SUM(18,38*19,14))))</f>
        <v/>
      </c>
      <c r="BD33" s="215" t="str" cm="1">
        <f t="array" aca="1" ref="BD33" ca="1">IF($B33="","",IF(ISBLANK(INDIRECT("R9.Web!D"&amp;SUM(18,38*20,14))),"",INDIRECT("R9.Web!D"&amp;SUM(18,38*20,14))))</f>
        <v/>
      </c>
      <c r="BE33" s="215" t="str" cm="1">
        <f t="array" aca="1" ref="BE33" ca="1">IF($B33="","",IF(ISBLANK(INDIRECT("R9.Web!D"&amp;SUM(18,38*21,14))),"",INDIRECT("R9.Web!D"&amp;SUM(18,38*21,14))))</f>
        <v/>
      </c>
      <c r="BF33" s="215" t="str" cm="1">
        <f t="array" aca="1" ref="BF33" ca="1">IF($B33="","",IF(ISBLANK(INDIRECT("R9.Web!D"&amp;SUM(18,38*22,14))),"",INDIRECT("R9.Web!D"&amp;SUM(18,38*22,14))))</f>
        <v/>
      </c>
      <c r="BG33" s="215" t="str" cm="1">
        <f t="array" aca="1" ref="BG33" ca="1">IF($B33="","",IF(ISBLANK(INDIRECT("R9.Web!D"&amp;SUM(18,38*23,14))),"",INDIRECT("R9.Web!D"&amp;SUM(18,38*23,14))))</f>
        <v/>
      </c>
      <c r="BH33" s="215" t="str" cm="1">
        <f t="array" aca="1" ref="BH33" ca="1">IF($B33="","",IF(ISBLANK(INDIRECT("R9.Web!D"&amp;SUM(18,38*24,14))),"",INDIRECT("R9.Web!D"&amp;SUM(18,38*24,14))))</f>
        <v/>
      </c>
      <c r="BI33" s="215" t="str" cm="1">
        <f t="array" aca="1" ref="BI33" ca="1">IF($B33="","",IF(ISBLANK(INDIRECT("R9.Web!D"&amp;SUM(18,38*25,14))),"",INDIRECT("R9.Web!D"&amp;SUM(18,38*25,14))))</f>
        <v/>
      </c>
      <c r="BJ33" s="215" t="str" cm="1">
        <f t="array" aca="1" ref="BJ33" ca="1">IF($B33="","",IF(ISBLANK(INDIRECT("R9.Web!D"&amp;SUM(18,38*26,14))),"",INDIRECT("R9.Web!D"&amp;SUM(18,38*26,14))))</f>
        <v/>
      </c>
      <c r="BK33" s="215" t="str" cm="1">
        <f t="array" aca="1" ref="BK33" ca="1">IF($B33="","",IF(ISBLANK(INDIRECT("R9.Web!D"&amp;SUM(18,38*27,14))),"",INDIRECT("R9.Web!D"&amp;SUM(18,38*27,14))))</f>
        <v/>
      </c>
      <c r="BL33" s="215" t="str" cm="1">
        <f t="array" aca="1" ref="BL33" ca="1">IF($B33="","",IF(ISBLANK(INDIRECT("R9.Web!D"&amp;SUM(18,38*28,14))),"",INDIRECT("R9.Web!D"&amp;SUM(18,38*28,14))))</f>
        <v/>
      </c>
      <c r="BM33" s="215" t="str" cm="1">
        <f t="array" aca="1" ref="BM33" ca="1">IF($B33="","",IF(ISBLANK(INDIRECT("R9.Web!D"&amp;SUM(18,38*29,14))),"",INDIRECT("R9.Web!D"&amp;SUM(18,38*29,14))))</f>
        <v/>
      </c>
      <c r="BN33" s="215" t="str" cm="1">
        <f t="array" aca="1" ref="BN33" ca="1">IF($B33="","",IF(ISBLANK(INDIRECT("R9.Web!D"&amp;SUM(18,38*30,14))),"",INDIRECT("R9.Web!D"&amp;SUM(18,38*30,14))))</f>
        <v/>
      </c>
      <c r="BO33" s="215" t="str" cm="1">
        <f t="array" aca="1" ref="BO33" ca="1">IF($B33="","",IF(ISBLANK(INDIRECT("R9.Web!D"&amp;SUM(18,38*31,14))),"",INDIRECT("R9.Web!D"&amp;SUM(18,38*31,14))))</f>
        <v/>
      </c>
      <c r="BP33" s="215" t="str" cm="1">
        <f t="array" aca="1" ref="BP33" ca="1">IF($B33="","",IF(ISBLANK(INDIRECT("R9.Web!D"&amp;SUM(18,38*32,14))),"",INDIRECT("R9.Web!D"&amp;SUM(18,38*32,14))))</f>
        <v/>
      </c>
      <c r="BQ33" s="215" t="str" cm="1">
        <f t="array" aca="1" ref="BQ33" ca="1">IF($B33="","",IF(ISBLANK(INDIRECT("R9.Web!D"&amp;SUM(18,38*33,14))),"",INDIRECT("R9.Web!D"&amp;SUM(18,38*33,14))))</f>
        <v/>
      </c>
      <c r="BR33" s="215" t="str" cm="1">
        <f t="array" aca="1" ref="BR33" ca="1">IF($B33="","",IF(ISBLANK(INDIRECT("R9.Web!D"&amp;SUM(18,38*34,14))),"",INDIRECT("R9.Web!D"&amp;SUM(18,38*34,14))))</f>
        <v/>
      </c>
      <c r="BS33" s="215" t="str" cm="1">
        <f t="array" aca="1" ref="BS33" ca="1">IF($B33="","",IF(ISBLANK(INDIRECT("R9.Web!D"&amp;SUM(18,38*35,14))),"",INDIRECT("R9.Web!D"&amp;SUM(18,38*35,14))))</f>
        <v/>
      </c>
      <c r="BT33" s="215" t="str" cm="1">
        <f t="array" aca="1" ref="BT33" ca="1">IF($B33="","",IF(ISBLANK(INDIRECT("R9.Web!D"&amp;SUM(18,38*36,14))),"",INDIRECT("R9.Web!D"&amp;SUM(18,38*36,14))))</f>
        <v/>
      </c>
      <c r="BU33" s="215" t="str" cm="1">
        <f t="array" aca="1" ref="BU33" ca="1">IF($B33="","",IF(ISBLANK(INDIRECT("R9.Web!D"&amp;SUM(18,38*37,14))),"",INDIRECT("R9.Web!D"&amp;SUM(18,38*37,14))))</f>
        <v/>
      </c>
      <c r="BV33" s="215" t="str" cm="1">
        <f t="array" aca="1" ref="BV33" ca="1">IF($B33="","",IF(ISBLANK(INDIRECT("R9.Web!D"&amp;SUM(18,38*38,14))),"",INDIRECT("R9.Web!D"&amp;SUM(18,38*38,14))))</f>
        <v/>
      </c>
      <c r="BW33" s="215" t="str" cm="1">
        <f t="array" aca="1" ref="BW33" ca="1">IF($B33="","",IF(ISBLANK(INDIRECT("R9.Web!D"&amp;SUM(18,38*39,14))),"",INDIRECT("R9.Web!D"&amp;SUM(18,38*39,14))))</f>
        <v/>
      </c>
      <c r="BX33" s="215" t="str" cm="1">
        <f t="array" aca="1" ref="BX33" ca="1">IF($B33="","",IF(ISBLANK(INDIRECT("R9.Web!D"&amp;SUM(18,38*40,14))),"",INDIRECT("R9.Web!D"&amp;SUM(18,38*40,14))))</f>
        <v/>
      </c>
      <c r="BY33" s="215" t="str" cm="1">
        <f t="array" aca="1" ref="BY33" ca="1">IF($B33="","",IF(ISBLANK(INDIRECT("R9.Web!D"&amp;SUM(18,38*41,14))),"",INDIRECT("R9.Web!D"&amp;SUM(18,38*41,14))))</f>
        <v/>
      </c>
      <c r="BZ33" s="215" t="str" cm="1">
        <f t="array" aca="1" ref="BZ33" ca="1">IF($B33="","",IF(ISBLANK(INDIRECT("R9.Web!D"&amp;SUM(18,38*42,14))),"",INDIRECT("R9.Web!D"&amp;SUM(18,38*42,14))))</f>
        <v/>
      </c>
      <c r="CA33" s="215" t="str" cm="1">
        <f t="array" aca="1" ref="CA33" ca="1">IF($B33="","",IF(ISBLANK(INDIRECT("R9.Web!D"&amp;SUM(18,38*43,14))),"",INDIRECT("R9.Web!D"&amp;SUM(18,38*43,14))))</f>
        <v/>
      </c>
      <c r="CB33" s="215" t="str" cm="1">
        <f t="array" aca="1" ref="CB33" ca="1">IF($B33="","",IF(ISBLANK(INDIRECT("R9.Web!D"&amp;SUM(18,38*44,14))),"",INDIRECT("R9.Web!D"&amp;SUM(18,38*44,14))))</f>
        <v/>
      </c>
      <c r="CC33" s="215" t="str" cm="1">
        <f t="array" aca="1" ref="CC33" ca="1">IF($B33="","",IF(ISBLANK(INDIRECT("R9.Web!D"&amp;SUM(18,38*45,14))),"",INDIRECT("R9.Web!D"&amp;SUM(18,38*45,14))))</f>
        <v/>
      </c>
      <c r="CD33" s="215" t="str" cm="1">
        <f t="array" aca="1" ref="CD33" ca="1">IF($B33="","",IF(ISBLANK(INDIRECT("R9.Web!D"&amp;SUM(18,38*46,14))),"",INDIRECT("R9.Web!D"&amp;SUM(18,38*46,14))))</f>
        <v/>
      </c>
      <c r="CE33" s="215" t="str" cm="1">
        <f t="array" aca="1" ref="CE33" ca="1">IF($B33="","",IF(ISBLANK(INDIRECT("R9.Web!D"&amp;SUM(18,38*47,14))),"",INDIRECT("R9.Web!D"&amp;SUM(18,38*47,14))))</f>
        <v/>
      </c>
      <c r="CF33" s="215" t="str" cm="1">
        <f t="array" aca="1" ref="CF33" ca="1">IF($B33="","",IF(ISBLANK(INDIRECT("R9.Web!D"&amp;SUM(18,38*48,14))),"",INDIRECT("R9.Web!D"&amp;SUM(18,38*48,14))))</f>
        <v/>
      </c>
      <c r="CG33" s="215" t="str" cm="1">
        <f t="array" aca="1" ref="CG33" ca="1">IF($B33="","",IF(ISBLANK(INDIRECT("R9.Web!D"&amp;SUM(18,38*49,14))),"",INDIRECT("R9.Web!D"&amp;SUM(18,38*49,14))))</f>
        <v/>
      </c>
      <c r="CH33" s="215" t="str" cm="1">
        <f t="array" aca="1" ref="CH33" ca="1">IF($B33="","",IF(ISBLANK(INDIRECT("R11.Software!D"&amp;SUM(18,38*0,14))),"",INDIRECT("R11.Software!D"&amp;SUM(18,38*0,14))))</f>
        <v/>
      </c>
      <c r="CI33" s="215" t="str" cm="1">
        <f t="array" aca="1" ref="CI33" ca="1">IF($B33="","",IF(ISBLANK(INDIRECT("R11.Software!D"&amp;SUM(18,38*1,14))),"",INDIRECT("R11.Software!D"&amp;SUM(18,38*1,14))))</f>
        <v/>
      </c>
      <c r="CJ33" s="215" t="str" cm="1">
        <f t="array" aca="1" ref="CJ33" ca="1">IF($B33="","",IF(ISBLANK(INDIRECT("R11.Software!D"&amp;SUM(18,38*2,14))),"",INDIRECT("R11.Software!D"&amp;SUM(18,38*2,14))))</f>
        <v/>
      </c>
      <c r="CK33" s="215" t="str" cm="1">
        <f t="array" aca="1" ref="CK33" ca="1">IF($B33="","",IF(ISBLANK(INDIRECT("R11.Software!D"&amp;SUM(18,38*3,14))),"",INDIRECT("R11.Software!D"&amp;SUM(18,38*3,14))))</f>
        <v/>
      </c>
      <c r="CL33" s="215" t="str" cm="1">
        <f t="array" aca="1" ref="CL33" ca="1">IF($B33="","",IF(ISBLANK(INDIRECT("R11.Software!D"&amp;SUM(18,38*4,14))),"",INDIRECT("R11.Software!D"&amp;SUM(18,38*4,14))))</f>
        <v/>
      </c>
      <c r="CM33" s="215" t="str" cm="1">
        <f t="array" aca="1" ref="CM33" ca="1">IF($B33="","",IF(ISBLANK(INDIRECT("R11.Software!D"&amp;SUM(18,38*5,14))),"",INDIRECT("R11.Software!D"&amp;SUM(18,38*5,14))))</f>
        <v/>
      </c>
      <c r="CN33" s="215" t="str" cm="1">
        <f t="array" aca="1" ref="CN33" ca="1">IF($B33="","",IF(ISBLANK(INDIRECT("R12.ServiciosApoyo!D"&amp;SUM(18,38*0,14))),"",INDIRECT("R12.ServiciosApoyo!D"&amp;SUM(18,38*0,14))))</f>
        <v/>
      </c>
      <c r="CO33" s="215" t="str" cm="1">
        <f t="array" aca="1" ref="CO33" ca="1">IF($B33="","",IF(ISBLANK(INDIRECT("R12.ServiciosApoyo!D"&amp;SUM(18,38*1,14))),"",INDIRECT("R12.ServiciosApoyo!D"&amp;SUM(18,38*1,14))))</f>
        <v/>
      </c>
      <c r="CP33" s="215" t="str" cm="1">
        <f t="array" aca="1" ref="CP33" ca="1">IF($B33="","",IF(ISBLANK(INDIRECT("R12.ServiciosApoyo!D"&amp;SUM(18,38*2,14))),"",INDIRECT("R12.ServiciosApoyo!D"&amp;SUM(18,38*2,14))))</f>
        <v/>
      </c>
      <c r="CQ33" s="215" t="str" cm="1">
        <f t="array" aca="1" ref="CQ33" ca="1">IF($B33="","",IF(ISBLANK(INDIRECT("R12.ServiciosApoyo!D"&amp;SUM(18,38*3,14))),"",INDIRECT("R12.ServiciosApoyo!D"&amp;SUM(18,38*3,14))))</f>
        <v/>
      </c>
      <c r="CR33" s="215" t="str" cm="1">
        <f t="array" aca="1" ref="CR33" ca="1">IF($B33="","",IF(ISBLANK(INDIRECT("R12.ServiciosApoyo!D"&amp;SUM(18,38*4,14))),"",INDIRECT("R12.ServiciosApoyo!D"&amp;SUM(18,38*4,14))))</f>
        <v/>
      </c>
      <c r="CU33" s="100"/>
      <c r="CV33" s="29"/>
      <c r="CW33" s="29"/>
      <c r="CX33" s="29"/>
    </row>
    <row r="34" spans="2:102" ht="20.5">
      <c r="B34" s="181" t="str" cm="1">
        <f t="array" ref="B34">IFERROR(INDEX('03.Muestra'!$B$8:$B$42,SMALL(IF("Página Web"='03.Muestra'!$D$8:$D$42,ROW('03.Muestra'!$B$8:$B$42)-MIN(ROW('03.Muestra'!$D$8:$D$42))+1,""),ROW()-19)),"")</f>
        <v/>
      </c>
      <c r="C34" s="97" t="str" cm="1">
        <f t="array" ref="C34">IFERROR(INDEX('03.Muestra'!$C$8:$C$42,SMALL(IF("Página Web"='03.Muestra'!$D$8:$D$42,ROW('03.Muestra'!$C$8:$C$42)-MIN(ROW('03.Muestra'!$D$8:$D$42))+1,""),ROW()-19)),"")</f>
        <v/>
      </c>
      <c r="D34" s="98" t="str" cm="1">
        <f t="array" ref="D34">IFERROR(INDEX('03.Muestra'!$F$8:$F$42,SMALL(IF("Página Web"='03.Muestra'!$D$8:$D$42,ROW('03.Muestra'!$F$8:$F$42)-MIN(ROW('03.Muestra'!$D$8:$D$42))+1,""),ROW()-19)),"")</f>
        <v/>
      </c>
      <c r="E34" s="215" t="str" cm="1">
        <f t="array" aca="1" ref="E34" ca="1">IF($B34="","",IF(ISBLANK(INDIRECT("R5.Genéricos!D"&amp;SUM(18,38*0,15))),"",INDIRECT("R5.Genéricos!D"&amp;SUM(18,38*0,15))))</f>
        <v/>
      </c>
      <c r="F34" s="215" t="str" cm="1">
        <f t="array" aca="1" ref="F34" ca="1">IF($B34="","",IF(ISBLANK(INDIRECT("R5.Genéricos!D"&amp;SUM(18,38*1,15))),"",INDIRECT("R5.Genéricos!D"&amp;SUM(18,38*1,15))))</f>
        <v/>
      </c>
      <c r="G34" s="215" t="str" cm="1">
        <f t="array" aca="1" ref="G34" ca="1">IF($B34="","",IF(ISBLANK(INDIRECT("R5.Genéricos!D"&amp;SUM(18,38*2,15))),"",INDIRECT("R5.Genéricos!D"&amp;SUM(18,38*2,15))))</f>
        <v/>
      </c>
      <c r="H34" s="215" t="str" cm="1">
        <f t="array" aca="1" ref="H34" ca="1">IF($B34="","",IF(ISBLANK(INDIRECT("R6.Voz!D"&amp;SUM(18,38*0,15))),"",INDIRECT("R6.Voz!D"&amp;SUM(18,38*0,15))))</f>
        <v/>
      </c>
      <c r="I34" s="215" t="str" cm="1">
        <f t="array" aca="1" ref="I34" ca="1">IF($B34="","",IF(ISBLANK(INDIRECT("R6.Voz!D"&amp;SUM(18,38*1,15))),"",INDIRECT("R6.Voz!D"&amp;SUM(18,38*1,15))))</f>
        <v/>
      </c>
      <c r="J34" s="215" t="str" cm="1">
        <f t="array" aca="1" ref="J34" ca="1">IF($B34="","",IF(ISBLANK(INDIRECT("R6.Voz!D"&amp;SUM(18,38*2,15))),"",INDIRECT("R6.Voz!D"&amp;SUM(18,38*2,15))))</f>
        <v/>
      </c>
      <c r="K34" s="215" t="str" cm="1">
        <f t="array" aca="1" ref="K34" ca="1">IF($B34="","",IF(ISBLANK(INDIRECT("R6.Voz!D"&amp;SUM(18,38*3,15))),"",INDIRECT("R6.Voz!D"&amp;SUM(18,38*3,15))))</f>
        <v/>
      </c>
      <c r="L34" s="215" t="str" cm="1">
        <f t="array" aca="1" ref="L34" ca="1">IF($B34="","",IF(ISBLANK(INDIRECT("R6.Voz!D"&amp;SUM(18,38*4,15))),"",INDIRECT("R6.Voz!D"&amp;SUM(18,38*4,15))))</f>
        <v/>
      </c>
      <c r="M34" s="215" t="str" cm="1">
        <f t="array" aca="1" ref="M34" ca="1">IF($B34="","",IF(ISBLANK(INDIRECT("R6.Voz!D"&amp;SUM(18,38*5,15))),"",INDIRECT("R6.Voz!D"&amp;SUM(18,38*5,15))))</f>
        <v/>
      </c>
      <c r="N34" s="215" t="str" cm="1">
        <f t="array" aca="1" ref="N34" ca="1">IF($B34="","",IF(ISBLANK(INDIRECT("R6.Voz!D"&amp;SUM(18,38*6,15))),"",INDIRECT("R6.Voz!D"&amp;SUM(18,38*6,15))))</f>
        <v/>
      </c>
      <c r="O34" s="215" t="str" cm="1">
        <f t="array" aca="1" ref="O34" ca="1">IF($B34="","",IF(ISBLANK(INDIRECT("R6.Voz!D"&amp;SUM(18,38*7,15))),"",INDIRECT("R6.Voz!D"&amp;SUM(18,38*7,15))))</f>
        <v/>
      </c>
      <c r="P34" s="215" t="str" cm="1">
        <f t="array" aca="1" ref="P34" ca="1">IF($B34="","",IF(ISBLANK(INDIRECT("R6.Voz!D"&amp;SUM(18,38*8,15))),"",INDIRECT("R6.Voz!D"&amp;SUM(18,38*8,15))))</f>
        <v/>
      </c>
      <c r="Q34" s="215" t="str" cm="1">
        <f t="array" aca="1" ref="Q34" ca="1">IF($B34="","",IF(ISBLANK(INDIRECT("R6.Voz!D"&amp;SUM(18,38*9,15))),"",INDIRECT("R6.Voz!D"&amp;SUM(18,38*9,15))))</f>
        <v/>
      </c>
      <c r="R34" s="215" t="str" cm="1">
        <f t="array" aca="1" ref="R34" ca="1">IF($B34="","",IF(ISBLANK(INDIRECT("R6.Voz!D"&amp;SUM(18,38*10,15))),"",INDIRECT("R6.Voz!D"&amp;SUM(18,38*10,15))))</f>
        <v/>
      </c>
      <c r="S34" s="215" t="str" cm="1">
        <f t="array" aca="1" ref="S34" ca="1">IF($B34="","",IF(ISBLANK(INDIRECT("R6.Voz!D"&amp;SUM(18,38*11,15))),"",INDIRECT("R6.Voz!D"&amp;SUM(18,38*11,15))))</f>
        <v/>
      </c>
      <c r="T34" s="215" t="str" cm="1">
        <f t="array" aca="1" ref="T34" ca="1">IF($B34="","",IF(ISBLANK(INDIRECT("R6.Voz!D"&amp;SUM(18,38*12,15))),"",INDIRECT("R6.Voz!D"&amp;SUM(18,38*12,15))))</f>
        <v/>
      </c>
      <c r="U34" s="215" t="str" cm="1">
        <f t="array" aca="1" ref="U34" ca="1">IF($B34="","",IF(ISBLANK(INDIRECT("R6.Voz!D"&amp;SUM(18,38*13,15))),"",INDIRECT("R6.Voz!D"&amp;SUM(18,38*13,15))))</f>
        <v/>
      </c>
      <c r="V34" s="215" t="str" cm="1">
        <f t="array" aca="1" ref="V34" ca="1">IF($B34="","",IF(ISBLANK(INDIRECT("R6.Voz!D"&amp;SUM(18,38*14,15))),"",INDIRECT("R6.Voz!D"&amp;SUM(18,38*14,15))))</f>
        <v/>
      </c>
      <c r="W34" s="215" t="str" cm="1">
        <f t="array" aca="1" ref="W34" ca="1">IF($B34="","",IF(ISBLANK(INDIRECT("R6.Voz!D"&amp;SUM(18,38*15,15))),"",INDIRECT("R6.Voz!D"&amp;SUM(18,38*15,15))))</f>
        <v/>
      </c>
      <c r="X34" s="215" t="str" cm="1">
        <f t="array" aca="1" ref="X34" ca="1">IF($B34="","",IF(ISBLANK(INDIRECT("R6.Voz!D"&amp;SUM(18,38*16,15))),"",INDIRECT("R6.Voz!D"&amp;SUM(18,38*16,15))))</f>
        <v/>
      </c>
      <c r="Y34" s="215" t="str" cm="1">
        <f t="array" aca="1" ref="Y34" ca="1">IF($B34="","",IF(ISBLANK(INDIRECT("R6.Voz!D"&amp;SUM(18,38*17,15))),"",INDIRECT("R6.Voz!D"&amp;SUM(18,38*17,15))))</f>
        <v/>
      </c>
      <c r="Z34" s="215" t="str" cm="1">
        <f t="array" aca="1" ref="Z34" ca="1">IF($B34="","",IF(ISBLANK(INDIRECT("R6.Voz!D"&amp;SUM(18,38*18,15))),"",INDIRECT("R6.Voz!D"&amp;SUM(18,38*18,15))))</f>
        <v/>
      </c>
      <c r="AA34" s="215" t="str" cm="1">
        <f t="array" aca="1" ref="AA34" ca="1">IF($B34="","",IF(ISBLANK(INDIRECT("R7.Video!D"&amp;SUM(18,38*0,15))),"",INDIRECT("R7.Video!D"&amp;SUM(18,38*0,15))))</f>
        <v/>
      </c>
      <c r="AB34" s="215" t="str" cm="1">
        <f t="array" aca="1" ref="AB34" ca="1">IF($B34="","",IF(ISBLANK(INDIRECT("R7.Video!D"&amp;SUM(18,38*1,15))),"",INDIRECT("R7.Video!D"&amp;SUM(18,38*1,15))))</f>
        <v/>
      </c>
      <c r="AC34" s="215" t="str" cm="1">
        <f t="array" aca="1" ref="AC34" ca="1">IF($B34="","",IF(ISBLANK(INDIRECT("R7.Video!D"&amp;SUM(18,38*2,15))),"",INDIRECT("R7.Video!D"&amp;SUM(18,38*2,15))))</f>
        <v/>
      </c>
      <c r="AD34" s="215" t="str" cm="1">
        <f t="array" aca="1" ref="AD34" ca="1">IF($B34="","",IF(ISBLANK(INDIRECT("R7.Video!D"&amp;SUM(18,38*3,15))),"",INDIRECT("R7.Video!D"&amp;SUM(18,38*3,15))))</f>
        <v/>
      </c>
      <c r="AE34" s="215" t="str" cm="1">
        <f t="array" aca="1" ref="AE34" ca="1">IF($B34="","",IF(ISBLANK(INDIRECT("R7.Video!D"&amp;SUM(18,38*4,15))),"",INDIRECT("R7.Video!D"&amp;SUM(18,38*4,15))))</f>
        <v/>
      </c>
      <c r="AF34" s="215" t="str" cm="1">
        <f t="array" aca="1" ref="AF34" ca="1">IF($B34="","",IF(ISBLANK(INDIRECT("R7.Video!D"&amp;SUM(18,38*5,15))),"",INDIRECT("R7.Video!D"&amp;SUM(18,38*5,15))))</f>
        <v/>
      </c>
      <c r="AG34" s="215" t="str" cm="1">
        <f t="array" aca="1" ref="AG34" ca="1">IF($B34="","",IF(ISBLANK(INDIRECT("R7.Video!D"&amp;SUM(18,38*6,15))),"",INDIRECT("R7.Video!D"&amp;SUM(18,38*6,15))))</f>
        <v/>
      </c>
      <c r="AH34" s="215" t="str" cm="1">
        <f t="array" aca="1" ref="AH34" ca="1">IF($B34="","",IF(ISBLANK(INDIRECT("R7.Video!D"&amp;SUM(18,38*7,15))),"",INDIRECT("R7.Video!D"&amp;SUM(18,38*7,15))))</f>
        <v/>
      </c>
      <c r="AI34" s="215" t="str" cm="1">
        <f t="array" aca="1" ref="AI34" ca="1">IF($B34="","",IF(ISBLANK(INDIRECT("R7.Video!D"&amp;SUM(18,38*8,15))),"",INDIRECT("R7.Video!D"&amp;SUM(18,38*8,15))))</f>
        <v/>
      </c>
      <c r="AJ34" s="215" t="str" cm="1">
        <f t="array" aca="1" ref="AJ34" ca="1">IF($B34="","",IF(ISBLANK(INDIRECT("R9.Web!D"&amp;SUM(18,38*0,15))),"",INDIRECT("R9.Web!D"&amp;SUM(18,38*0,15))))</f>
        <v/>
      </c>
      <c r="AK34" s="215" t="str" cm="1">
        <f t="array" aca="1" ref="AK34" ca="1">IF($B34="","",IF(ISBLANK(INDIRECT("R9.Web!D"&amp;SUM(18,38*1,15))),"",INDIRECT("R9.Web!D"&amp;SUM(18,38*1,15))))</f>
        <v/>
      </c>
      <c r="AL34" s="215" t="str" cm="1">
        <f t="array" aca="1" ref="AL34" ca="1">IF($B34="","",IF(ISBLANK(INDIRECT("R9.Web!D"&amp;SUM(18,38*2,15))),"",INDIRECT("R9.Web!D"&amp;SUM(18,38*2,15))))</f>
        <v/>
      </c>
      <c r="AM34" s="215" t="str" cm="1">
        <f t="array" aca="1" ref="AM34" ca="1">IF($B34="","",IF(ISBLANK(INDIRECT("R9.Web!D"&amp;SUM(18,38*3,15))),"",INDIRECT("R9.Web!D"&amp;SUM(18,38*3,15))))</f>
        <v/>
      </c>
      <c r="AN34" s="215" t="str" cm="1">
        <f t="array" aca="1" ref="AN34" ca="1">IF($B34="","",IF(ISBLANK(INDIRECT("R9.Web!D"&amp;SUM(18,38*4,15))),"",INDIRECT("R9.Web!D"&amp;SUM(18,38*4,15))))</f>
        <v/>
      </c>
      <c r="AO34" s="215" t="str" cm="1">
        <f t="array" aca="1" ref="AO34" ca="1">IF($B34="","",IF(ISBLANK(INDIRECT("R9.Web!D"&amp;SUM(18,38*5,15))),"",INDIRECT("R9.Web!D"&amp;SUM(18,38*5,15))))</f>
        <v/>
      </c>
      <c r="AP34" s="215" t="str" cm="1">
        <f t="array" aca="1" ref="AP34" ca="1">IF($B34="","",IF(ISBLANK(INDIRECT("R9.Web!D"&amp;SUM(18,38*6,15))),"",INDIRECT("R9.Web!D"&amp;SUM(18,38*6,15))))</f>
        <v/>
      </c>
      <c r="AQ34" s="215" t="str" cm="1">
        <f t="array" aca="1" ref="AQ34" ca="1">IF($B34="","",IF(ISBLANK(INDIRECT("R9.Web!D"&amp;SUM(18,38*7,15))),"",INDIRECT("R9.Web!D"&amp;SUM(18,38*7,15))))</f>
        <v/>
      </c>
      <c r="AR34" s="215" t="str" cm="1">
        <f t="array" aca="1" ref="AR34" ca="1">IF($B34="","",IF(ISBLANK(INDIRECT("R9.Web!D"&amp;SUM(18,38*8,15))),"",INDIRECT("R9.Web!D"&amp;SUM(18,38*8,15))))</f>
        <v/>
      </c>
      <c r="AS34" s="215" t="str" cm="1">
        <f t="array" aca="1" ref="AS34" ca="1">IF($B34="","",IF(ISBLANK(INDIRECT("R9.Web!D"&amp;SUM(18,38*9,15))),"",INDIRECT("R9.Web!D"&amp;SUM(18,38*9,15))))</f>
        <v/>
      </c>
      <c r="AT34" s="215" t="str" cm="1">
        <f t="array" aca="1" ref="AT34" ca="1">IF($B34="","",IF(ISBLANK(INDIRECT("R9.Web!D"&amp;SUM(18,38*10,15))),"",INDIRECT("R9.Web!D"&amp;SUM(18,38*10,15))))</f>
        <v/>
      </c>
      <c r="AU34" s="215" t="str" cm="1">
        <f t="array" aca="1" ref="AU34" ca="1">IF($B34="","",IF(ISBLANK(INDIRECT("R9.Web!D"&amp;SUM(18,38*11,15))),"",INDIRECT("R9.Web!D"&amp;SUM(18,38*11,15))))</f>
        <v/>
      </c>
      <c r="AV34" s="215" t="str" cm="1">
        <f t="array" aca="1" ref="AV34" ca="1">IF($B34="","",IF(ISBLANK(INDIRECT("R9.Web!D"&amp;SUM(18,38*12,15))),"",INDIRECT("R9.Web!D"&amp;SUM(18,38*12,15))))</f>
        <v/>
      </c>
      <c r="AW34" s="215" t="str" cm="1">
        <f t="array" aca="1" ref="AW34" ca="1">IF($B34="","",IF(ISBLANK(INDIRECT("R9.Web!D"&amp;SUM(18,38*13,15))),"",INDIRECT("R9.Web!D"&amp;SUM(18,38*13,15))))</f>
        <v/>
      </c>
      <c r="AX34" s="215" t="str" cm="1">
        <f t="array" aca="1" ref="AX34" ca="1">IF($B34="","",IF(ISBLANK(INDIRECT("R9.Web!D"&amp;SUM(18,38*14,15))),"",INDIRECT("R9.Web!D"&amp;SUM(18,38*14,15))))</f>
        <v/>
      </c>
      <c r="AY34" s="215" t="str" cm="1">
        <f t="array" aca="1" ref="AY34" ca="1">IF($B34="","",IF(ISBLANK(INDIRECT("R9.Web!D"&amp;SUM(18,38*15,15))),"",INDIRECT("R9.Web!D"&amp;SUM(18,38*15,15))))</f>
        <v/>
      </c>
      <c r="AZ34" s="215" t="str" cm="1">
        <f t="array" aca="1" ref="AZ34" ca="1">IF($B34="","",IF(ISBLANK(INDIRECT("R9.Web!D"&amp;SUM(18,38*16,15))),"",INDIRECT("R9.Web!D"&amp;SUM(18,38*16,15))))</f>
        <v/>
      </c>
      <c r="BA34" s="215" t="str" cm="1">
        <f t="array" aca="1" ref="BA34" ca="1">IF($B34="","",IF(ISBLANK(INDIRECT("R9.Web!D"&amp;SUM(18,38*17,15))),"",INDIRECT("R9.Web!D"&amp;SUM(18,38*17,15))))</f>
        <v/>
      </c>
      <c r="BB34" s="215" t="str" cm="1">
        <f t="array" aca="1" ref="BB34" ca="1">IF($B34="","",IF(ISBLANK(INDIRECT("R9.Web!D"&amp;SUM(18,38*18,15))),"",INDIRECT("R9.Web!D"&amp;SUM(18,38*18,15))))</f>
        <v/>
      </c>
      <c r="BC34" s="215" t="str" cm="1">
        <f t="array" aca="1" ref="BC34" ca="1">IF($B34="","",IF(ISBLANK(INDIRECT("R9.Web!D"&amp;SUM(18,38*19,15))),"",INDIRECT("R9.Web!D"&amp;SUM(18,38*19,15))))</f>
        <v/>
      </c>
      <c r="BD34" s="215" t="str" cm="1">
        <f t="array" aca="1" ref="BD34" ca="1">IF($B34="","",IF(ISBLANK(INDIRECT("R9.Web!D"&amp;SUM(18,38*20,15))),"",INDIRECT("R9.Web!D"&amp;SUM(18,38*20,15))))</f>
        <v/>
      </c>
      <c r="BE34" s="215" t="str" cm="1">
        <f t="array" aca="1" ref="BE34" ca="1">IF($B34="","",IF(ISBLANK(INDIRECT("R9.Web!D"&amp;SUM(18,38*21,15))),"",INDIRECT("R9.Web!D"&amp;SUM(18,38*21,15))))</f>
        <v/>
      </c>
      <c r="BF34" s="215" t="str" cm="1">
        <f t="array" aca="1" ref="BF34" ca="1">IF($B34="","",IF(ISBLANK(INDIRECT("R9.Web!D"&amp;SUM(18,38*22,15))),"",INDIRECT("R9.Web!D"&amp;SUM(18,38*22,15))))</f>
        <v/>
      </c>
      <c r="BG34" s="215" t="str" cm="1">
        <f t="array" aca="1" ref="BG34" ca="1">IF($B34="","",IF(ISBLANK(INDIRECT("R9.Web!D"&amp;SUM(18,38*23,15))),"",INDIRECT("R9.Web!D"&amp;SUM(18,38*23,15))))</f>
        <v/>
      </c>
      <c r="BH34" s="215" t="str" cm="1">
        <f t="array" aca="1" ref="BH34" ca="1">IF($B34="","",IF(ISBLANK(INDIRECT("R9.Web!D"&amp;SUM(18,38*24,15))),"",INDIRECT("R9.Web!D"&amp;SUM(18,38*24,15))))</f>
        <v/>
      </c>
      <c r="BI34" s="215" t="str" cm="1">
        <f t="array" aca="1" ref="BI34" ca="1">IF($B34="","",IF(ISBLANK(INDIRECT("R9.Web!D"&amp;SUM(18,38*25,15))),"",INDIRECT("R9.Web!D"&amp;SUM(18,38*25,15))))</f>
        <v/>
      </c>
      <c r="BJ34" s="215" t="str" cm="1">
        <f t="array" aca="1" ref="BJ34" ca="1">IF($B34="","",IF(ISBLANK(INDIRECT("R9.Web!D"&amp;SUM(18,38*26,15))),"",INDIRECT("R9.Web!D"&amp;SUM(18,38*26,15))))</f>
        <v/>
      </c>
      <c r="BK34" s="215" t="str" cm="1">
        <f t="array" aca="1" ref="BK34" ca="1">IF($B34="","",IF(ISBLANK(INDIRECT("R9.Web!D"&amp;SUM(18,38*27,15))),"",INDIRECT("R9.Web!D"&amp;SUM(18,38*27,15))))</f>
        <v/>
      </c>
      <c r="BL34" s="215" t="str" cm="1">
        <f t="array" aca="1" ref="BL34" ca="1">IF($B34="","",IF(ISBLANK(INDIRECT("R9.Web!D"&amp;SUM(18,38*28,15))),"",INDIRECT("R9.Web!D"&amp;SUM(18,38*28,15))))</f>
        <v/>
      </c>
      <c r="BM34" s="215" t="str" cm="1">
        <f t="array" aca="1" ref="BM34" ca="1">IF($B34="","",IF(ISBLANK(INDIRECT("R9.Web!D"&amp;SUM(18,38*29,15))),"",INDIRECT("R9.Web!D"&amp;SUM(18,38*29,15))))</f>
        <v/>
      </c>
      <c r="BN34" s="215" t="str" cm="1">
        <f t="array" aca="1" ref="BN34" ca="1">IF($B34="","",IF(ISBLANK(INDIRECT("R9.Web!D"&amp;SUM(18,38*30,15))),"",INDIRECT("R9.Web!D"&amp;SUM(18,38*30,15))))</f>
        <v/>
      </c>
      <c r="BO34" s="215" t="str" cm="1">
        <f t="array" aca="1" ref="BO34" ca="1">IF($B34="","",IF(ISBLANK(INDIRECT("R9.Web!D"&amp;SUM(18,38*31,15))),"",INDIRECT("R9.Web!D"&amp;SUM(18,38*31,15))))</f>
        <v/>
      </c>
      <c r="BP34" s="215" t="str" cm="1">
        <f t="array" aca="1" ref="BP34" ca="1">IF($B34="","",IF(ISBLANK(INDIRECT("R9.Web!D"&amp;SUM(18,38*32,15))),"",INDIRECT("R9.Web!D"&amp;SUM(18,38*32,15))))</f>
        <v/>
      </c>
      <c r="BQ34" s="215" t="str" cm="1">
        <f t="array" aca="1" ref="BQ34" ca="1">IF($B34="","",IF(ISBLANK(INDIRECT("R9.Web!D"&amp;SUM(18,38*33,15))),"",INDIRECT("R9.Web!D"&amp;SUM(18,38*33,15))))</f>
        <v/>
      </c>
      <c r="BR34" s="215" t="str" cm="1">
        <f t="array" aca="1" ref="BR34" ca="1">IF($B34="","",IF(ISBLANK(INDIRECT("R9.Web!D"&amp;SUM(18,38*34,15))),"",INDIRECT("R9.Web!D"&amp;SUM(18,38*34,15))))</f>
        <v/>
      </c>
      <c r="BS34" s="215" t="str" cm="1">
        <f t="array" aca="1" ref="BS34" ca="1">IF($B34="","",IF(ISBLANK(INDIRECT("R9.Web!D"&amp;SUM(18,38*35,15))),"",INDIRECT("R9.Web!D"&amp;SUM(18,38*35,15))))</f>
        <v/>
      </c>
      <c r="BT34" s="215" t="str" cm="1">
        <f t="array" aca="1" ref="BT34" ca="1">IF($B34="","",IF(ISBLANK(INDIRECT("R9.Web!D"&amp;SUM(18,38*36,15))),"",INDIRECT("R9.Web!D"&amp;SUM(18,38*36,15))))</f>
        <v/>
      </c>
      <c r="BU34" s="215" t="str" cm="1">
        <f t="array" aca="1" ref="BU34" ca="1">IF($B34="","",IF(ISBLANK(INDIRECT("R9.Web!D"&amp;SUM(18,38*37,15))),"",INDIRECT("R9.Web!D"&amp;SUM(18,38*37,15))))</f>
        <v/>
      </c>
      <c r="BV34" s="215" t="str" cm="1">
        <f t="array" aca="1" ref="BV34" ca="1">IF($B34="","",IF(ISBLANK(INDIRECT("R9.Web!D"&amp;SUM(18,38*38,15))),"",INDIRECT("R9.Web!D"&amp;SUM(18,38*38,15))))</f>
        <v/>
      </c>
      <c r="BW34" s="215" t="str" cm="1">
        <f t="array" aca="1" ref="BW34" ca="1">IF($B34="","",IF(ISBLANK(INDIRECT("R9.Web!D"&amp;SUM(18,38*39,15))),"",INDIRECT("R9.Web!D"&amp;SUM(18,38*39,15))))</f>
        <v/>
      </c>
      <c r="BX34" s="215" t="str" cm="1">
        <f t="array" aca="1" ref="BX34" ca="1">IF($B34="","",IF(ISBLANK(INDIRECT("R9.Web!D"&amp;SUM(18,38*40,15))),"",INDIRECT("R9.Web!D"&amp;SUM(18,38*40,15))))</f>
        <v/>
      </c>
      <c r="BY34" s="215" t="str" cm="1">
        <f t="array" aca="1" ref="BY34" ca="1">IF($B34="","",IF(ISBLANK(INDIRECT("R9.Web!D"&amp;SUM(18,38*41,15))),"",INDIRECT("R9.Web!D"&amp;SUM(18,38*41,15))))</f>
        <v/>
      </c>
      <c r="BZ34" s="215" t="str" cm="1">
        <f t="array" aca="1" ref="BZ34" ca="1">IF($B34="","",IF(ISBLANK(INDIRECT("R9.Web!D"&amp;SUM(18,38*42,15))),"",INDIRECT("R9.Web!D"&amp;SUM(18,38*42,15))))</f>
        <v/>
      </c>
      <c r="CA34" s="215" t="str" cm="1">
        <f t="array" aca="1" ref="CA34" ca="1">IF($B34="","",IF(ISBLANK(INDIRECT("R9.Web!D"&amp;SUM(18,38*43,15))),"",INDIRECT("R9.Web!D"&amp;SUM(18,38*43,15))))</f>
        <v/>
      </c>
      <c r="CB34" s="215" t="str" cm="1">
        <f t="array" aca="1" ref="CB34" ca="1">IF($B34="","",IF(ISBLANK(INDIRECT("R9.Web!D"&amp;SUM(18,38*44,15))),"",INDIRECT("R9.Web!D"&amp;SUM(18,38*44,15))))</f>
        <v/>
      </c>
      <c r="CC34" s="215" t="str" cm="1">
        <f t="array" aca="1" ref="CC34" ca="1">IF($B34="","",IF(ISBLANK(INDIRECT("R9.Web!D"&amp;SUM(18,38*45,15))),"",INDIRECT("R9.Web!D"&amp;SUM(18,38*45,15))))</f>
        <v/>
      </c>
      <c r="CD34" s="215" t="str" cm="1">
        <f t="array" aca="1" ref="CD34" ca="1">IF($B34="","",IF(ISBLANK(INDIRECT("R9.Web!D"&amp;SUM(18,38*46,15))),"",INDIRECT("R9.Web!D"&amp;SUM(18,38*46,15))))</f>
        <v/>
      </c>
      <c r="CE34" s="215" t="str" cm="1">
        <f t="array" aca="1" ref="CE34" ca="1">IF($B34="","",IF(ISBLANK(INDIRECT("R9.Web!D"&amp;SUM(18,38*47,15))),"",INDIRECT("R9.Web!D"&amp;SUM(18,38*47,15))))</f>
        <v/>
      </c>
      <c r="CF34" s="215" t="str" cm="1">
        <f t="array" aca="1" ref="CF34" ca="1">IF($B34="","",IF(ISBLANK(INDIRECT("R9.Web!D"&amp;SUM(18,38*48,15))),"",INDIRECT("R9.Web!D"&amp;SUM(18,38*48,15))))</f>
        <v/>
      </c>
      <c r="CG34" s="215" t="str" cm="1">
        <f t="array" aca="1" ref="CG34" ca="1">IF($B34="","",IF(ISBLANK(INDIRECT("R9.Web!D"&amp;SUM(18,38*49,15))),"",INDIRECT("R9.Web!D"&amp;SUM(18,38*49,15))))</f>
        <v/>
      </c>
      <c r="CH34" s="215" t="str" cm="1">
        <f t="array" aca="1" ref="CH34" ca="1">IF($B34="","",IF(ISBLANK(INDIRECT("R11.Software!D"&amp;SUM(18,38*0,15))),"",INDIRECT("R11.Software!D"&amp;SUM(18,38*0,15))))</f>
        <v/>
      </c>
      <c r="CI34" s="215" t="str" cm="1">
        <f t="array" aca="1" ref="CI34" ca="1">IF($B34="","",IF(ISBLANK(INDIRECT("R11.Software!D"&amp;SUM(18,38*1,15))),"",INDIRECT("R11.Software!D"&amp;SUM(18,38*1,15))))</f>
        <v/>
      </c>
      <c r="CJ34" s="215" t="str" cm="1">
        <f t="array" aca="1" ref="CJ34" ca="1">IF($B34="","",IF(ISBLANK(INDIRECT("R11.Software!D"&amp;SUM(18,38*2,15))),"",INDIRECT("R11.Software!D"&amp;SUM(18,38*2,15))))</f>
        <v/>
      </c>
      <c r="CK34" s="215" t="str" cm="1">
        <f t="array" aca="1" ref="CK34" ca="1">IF($B34="","",IF(ISBLANK(INDIRECT("R11.Software!D"&amp;SUM(18,38*3,15))),"",INDIRECT("R11.Software!D"&amp;SUM(18,38*3,15))))</f>
        <v/>
      </c>
      <c r="CL34" s="215" t="str" cm="1">
        <f t="array" aca="1" ref="CL34" ca="1">IF($B34="","",IF(ISBLANK(INDIRECT("R11.Software!D"&amp;SUM(18,38*4,15))),"",INDIRECT("R11.Software!D"&amp;SUM(18,38*4,15))))</f>
        <v/>
      </c>
      <c r="CM34" s="215" t="str" cm="1">
        <f t="array" aca="1" ref="CM34" ca="1">IF($B34="","",IF(ISBLANK(INDIRECT("R11.Software!D"&amp;SUM(18,38*5,15))),"",INDIRECT("R11.Software!D"&amp;SUM(18,38*5,15))))</f>
        <v/>
      </c>
      <c r="CN34" s="215" t="str" cm="1">
        <f t="array" aca="1" ref="CN34" ca="1">IF($B34="","",IF(ISBLANK(INDIRECT("R12.ServiciosApoyo!D"&amp;SUM(18,38*0,15))),"",INDIRECT("R12.ServiciosApoyo!D"&amp;SUM(18,38*0,15))))</f>
        <v/>
      </c>
      <c r="CO34" s="215" t="str" cm="1">
        <f t="array" aca="1" ref="CO34" ca="1">IF($B34="","",IF(ISBLANK(INDIRECT("R12.ServiciosApoyo!D"&amp;SUM(18,38*1,15))),"",INDIRECT("R12.ServiciosApoyo!D"&amp;SUM(18,38*1,15))))</f>
        <v/>
      </c>
      <c r="CP34" s="215" t="str" cm="1">
        <f t="array" aca="1" ref="CP34" ca="1">IF($B34="","",IF(ISBLANK(INDIRECT("R12.ServiciosApoyo!D"&amp;SUM(18,38*2,15))),"",INDIRECT("R12.ServiciosApoyo!D"&amp;SUM(18,38*2,15))))</f>
        <v/>
      </c>
      <c r="CQ34" s="215" t="str" cm="1">
        <f t="array" aca="1" ref="CQ34" ca="1">IF($B34="","",IF(ISBLANK(INDIRECT("R12.ServiciosApoyo!D"&amp;SUM(18,38*3,15))),"",INDIRECT("R12.ServiciosApoyo!D"&amp;SUM(18,38*3,15))))</f>
        <v/>
      </c>
      <c r="CR34" s="215" t="str" cm="1">
        <f t="array" aca="1" ref="CR34" ca="1">IF($B34="","",IF(ISBLANK(INDIRECT("R12.ServiciosApoyo!D"&amp;SUM(18,38*4,15))),"",INDIRECT("R12.ServiciosApoyo!D"&amp;SUM(18,38*4,15))))</f>
        <v/>
      </c>
      <c r="CU34" s="100"/>
      <c r="CV34" s="29"/>
      <c r="CW34" s="29"/>
      <c r="CX34" s="29"/>
    </row>
    <row r="35" spans="2:102" ht="20.5">
      <c r="B35" s="181" t="str" cm="1">
        <f t="array" ref="B35">IFERROR(INDEX('03.Muestra'!$B$8:$B$42,SMALL(IF("Página Web"='03.Muestra'!$D$8:$D$42,ROW('03.Muestra'!$B$8:$B$42)-MIN(ROW('03.Muestra'!$D$8:$D$42))+1,""),ROW()-19)),"")</f>
        <v/>
      </c>
      <c r="C35" s="97" t="str" cm="1">
        <f t="array" ref="C35">IFERROR(INDEX('03.Muestra'!$C$8:$C$42,SMALL(IF("Página Web"='03.Muestra'!$D$8:$D$42,ROW('03.Muestra'!$C$8:$C$42)-MIN(ROW('03.Muestra'!$D$8:$D$42))+1,""),ROW()-19)),"")</f>
        <v/>
      </c>
      <c r="D35" s="98" t="str" cm="1">
        <f t="array" ref="D35">IFERROR(INDEX('03.Muestra'!$F$8:$F$42,SMALL(IF("Página Web"='03.Muestra'!$D$8:$D$42,ROW('03.Muestra'!$F$8:$F$42)-MIN(ROW('03.Muestra'!$D$8:$D$42))+1,""),ROW()-19)),"")</f>
        <v/>
      </c>
      <c r="E35" s="215" t="str" cm="1">
        <f t="array" aca="1" ref="E35" ca="1">IF($B35="","",IF(ISBLANK(INDIRECT("R5.Genéricos!D"&amp;SUM(18,38*0,16))),"",INDIRECT("R5.Genéricos!D"&amp;SUM(18,38*0,16))))</f>
        <v/>
      </c>
      <c r="F35" s="215" t="str" cm="1">
        <f t="array" aca="1" ref="F35" ca="1">IF($B35="","",IF(ISBLANK(INDIRECT("R5.Genéricos!D"&amp;SUM(18,38*1,16))),"",INDIRECT("R5.Genéricos!D"&amp;SUM(18,38*1,16))))</f>
        <v/>
      </c>
      <c r="G35" s="215" t="str" cm="1">
        <f t="array" aca="1" ref="G35" ca="1">IF($B35="","",IF(ISBLANK(INDIRECT("R5.Genéricos!D"&amp;SUM(18,38*2,16))),"",INDIRECT("R5.Genéricos!D"&amp;SUM(18,38*2,16))))</f>
        <v/>
      </c>
      <c r="H35" s="215" t="str" cm="1">
        <f t="array" aca="1" ref="H35" ca="1">IF($B35="","",IF(ISBLANK(INDIRECT("R6.Voz!D"&amp;SUM(18,38*0,16))),"",INDIRECT("R6.Voz!D"&amp;SUM(18,38*0,16))))</f>
        <v/>
      </c>
      <c r="I35" s="215" t="str" cm="1">
        <f t="array" aca="1" ref="I35" ca="1">IF($B35="","",IF(ISBLANK(INDIRECT("R6.Voz!D"&amp;SUM(18,38*1,16))),"",INDIRECT("R6.Voz!D"&amp;SUM(18,38*1,16))))</f>
        <v/>
      </c>
      <c r="J35" s="215" t="str" cm="1">
        <f t="array" aca="1" ref="J35" ca="1">IF($B35="","",IF(ISBLANK(INDIRECT("R6.Voz!D"&amp;SUM(18,38*2,16))),"",INDIRECT("R6.Voz!D"&amp;SUM(18,38*2,16))))</f>
        <v/>
      </c>
      <c r="K35" s="215" t="str" cm="1">
        <f t="array" aca="1" ref="K35" ca="1">IF($B35="","",IF(ISBLANK(INDIRECT("R6.Voz!D"&amp;SUM(18,38*3,16))),"",INDIRECT("R6.Voz!D"&amp;SUM(18,38*3,16))))</f>
        <v/>
      </c>
      <c r="L35" s="215" t="str" cm="1">
        <f t="array" aca="1" ref="L35" ca="1">IF($B35="","",IF(ISBLANK(INDIRECT("R6.Voz!D"&amp;SUM(18,38*4,16))),"",INDIRECT("R6.Voz!D"&amp;SUM(18,38*4,16))))</f>
        <v/>
      </c>
      <c r="M35" s="215" t="str" cm="1">
        <f t="array" aca="1" ref="M35" ca="1">IF($B35="","",IF(ISBLANK(INDIRECT("R6.Voz!D"&amp;SUM(18,38*5,16))),"",INDIRECT("R6.Voz!D"&amp;SUM(18,38*5,16))))</f>
        <v/>
      </c>
      <c r="N35" s="215" t="str" cm="1">
        <f t="array" aca="1" ref="N35" ca="1">IF($B35="","",IF(ISBLANK(INDIRECT("R6.Voz!D"&amp;SUM(18,38*6,16))),"",INDIRECT("R6.Voz!D"&amp;SUM(18,38*6,16))))</f>
        <v/>
      </c>
      <c r="O35" s="215" t="str" cm="1">
        <f t="array" aca="1" ref="O35" ca="1">IF($B35="","",IF(ISBLANK(INDIRECT("R6.Voz!D"&amp;SUM(18,38*7,16))),"",INDIRECT("R6.Voz!D"&amp;SUM(18,38*7,16))))</f>
        <v/>
      </c>
      <c r="P35" s="215" t="str" cm="1">
        <f t="array" aca="1" ref="P35" ca="1">IF($B35="","",IF(ISBLANK(INDIRECT("R6.Voz!D"&amp;SUM(18,38*8,16))),"",INDIRECT("R6.Voz!D"&amp;SUM(18,38*8,16))))</f>
        <v/>
      </c>
      <c r="Q35" s="215" t="str" cm="1">
        <f t="array" aca="1" ref="Q35" ca="1">IF($B35="","",IF(ISBLANK(INDIRECT("R6.Voz!D"&amp;SUM(18,38*9,16))),"",INDIRECT("R6.Voz!D"&amp;SUM(18,38*9,16))))</f>
        <v/>
      </c>
      <c r="R35" s="215" t="str" cm="1">
        <f t="array" aca="1" ref="R35" ca="1">IF($B35="","",IF(ISBLANK(INDIRECT("R6.Voz!D"&amp;SUM(18,38*10,16))),"",INDIRECT("R6.Voz!D"&amp;SUM(18,38*10,16))))</f>
        <v/>
      </c>
      <c r="S35" s="215" t="str" cm="1">
        <f t="array" aca="1" ref="S35" ca="1">IF($B35="","",IF(ISBLANK(INDIRECT("R6.Voz!D"&amp;SUM(18,38*11,16))),"",INDIRECT("R6.Voz!D"&amp;SUM(18,38*11,16))))</f>
        <v/>
      </c>
      <c r="T35" s="215" t="str" cm="1">
        <f t="array" aca="1" ref="T35" ca="1">IF($B35="","",IF(ISBLANK(INDIRECT("R6.Voz!D"&amp;SUM(18,38*12,16))),"",INDIRECT("R6.Voz!D"&amp;SUM(18,38*12,16))))</f>
        <v/>
      </c>
      <c r="U35" s="215" t="str" cm="1">
        <f t="array" aca="1" ref="U35" ca="1">IF($B35="","",IF(ISBLANK(INDIRECT("R6.Voz!D"&amp;SUM(18,38*13,16))),"",INDIRECT("R6.Voz!D"&amp;SUM(18,38*13,16))))</f>
        <v/>
      </c>
      <c r="V35" s="215" t="str" cm="1">
        <f t="array" aca="1" ref="V35" ca="1">IF($B35="","",IF(ISBLANK(INDIRECT("R6.Voz!D"&amp;SUM(18,38*14,16))),"",INDIRECT("R6.Voz!D"&amp;SUM(18,38*14,16))))</f>
        <v/>
      </c>
      <c r="W35" s="215" t="str" cm="1">
        <f t="array" aca="1" ref="W35" ca="1">IF($B35="","",IF(ISBLANK(INDIRECT("R6.Voz!D"&amp;SUM(18,38*15,16))),"",INDIRECT("R6.Voz!D"&amp;SUM(18,38*15,16))))</f>
        <v/>
      </c>
      <c r="X35" s="215" t="str" cm="1">
        <f t="array" aca="1" ref="X35" ca="1">IF($B35="","",IF(ISBLANK(INDIRECT("R6.Voz!D"&amp;SUM(18,38*16,16))),"",INDIRECT("R6.Voz!D"&amp;SUM(18,38*16,16))))</f>
        <v/>
      </c>
      <c r="Y35" s="215" t="str" cm="1">
        <f t="array" aca="1" ref="Y35" ca="1">IF($B35="","",IF(ISBLANK(INDIRECT("R6.Voz!D"&amp;SUM(18,38*17,16))),"",INDIRECT("R6.Voz!D"&amp;SUM(18,38*17,16))))</f>
        <v/>
      </c>
      <c r="Z35" s="215" t="str" cm="1">
        <f t="array" aca="1" ref="Z35" ca="1">IF($B35="","",IF(ISBLANK(INDIRECT("R6.Voz!D"&amp;SUM(18,38*18,16))),"",INDIRECT("R6.Voz!D"&amp;SUM(18,38*18,16))))</f>
        <v/>
      </c>
      <c r="AA35" s="215" t="str" cm="1">
        <f t="array" aca="1" ref="AA35" ca="1">IF($B35="","",IF(ISBLANK(INDIRECT("R7.Video!D"&amp;SUM(18,38*0,16))),"",INDIRECT("R7.Video!D"&amp;SUM(18,38*0,16))))</f>
        <v/>
      </c>
      <c r="AB35" s="215" t="str" cm="1">
        <f t="array" aca="1" ref="AB35" ca="1">IF($B35="","",IF(ISBLANK(INDIRECT("R7.Video!D"&amp;SUM(18,38*1,16))),"",INDIRECT("R7.Video!D"&amp;SUM(18,38*1,16))))</f>
        <v/>
      </c>
      <c r="AC35" s="215" t="str" cm="1">
        <f t="array" aca="1" ref="AC35" ca="1">IF($B35="","",IF(ISBLANK(INDIRECT("R7.Video!D"&amp;SUM(18,38*2,16))),"",INDIRECT("R7.Video!D"&amp;SUM(18,38*2,16))))</f>
        <v/>
      </c>
      <c r="AD35" s="215" t="str" cm="1">
        <f t="array" aca="1" ref="AD35" ca="1">IF($B35="","",IF(ISBLANK(INDIRECT("R7.Video!D"&amp;SUM(18,38*3,16))),"",INDIRECT("R7.Video!D"&amp;SUM(18,38*3,16))))</f>
        <v/>
      </c>
      <c r="AE35" s="215" t="str" cm="1">
        <f t="array" aca="1" ref="AE35" ca="1">IF($B35="","",IF(ISBLANK(INDIRECT("R7.Video!D"&amp;SUM(18,38*4,16))),"",INDIRECT("R7.Video!D"&amp;SUM(18,38*4,16))))</f>
        <v/>
      </c>
      <c r="AF35" s="215" t="str" cm="1">
        <f t="array" aca="1" ref="AF35" ca="1">IF($B35="","",IF(ISBLANK(INDIRECT("R7.Video!D"&amp;SUM(18,38*5,16))),"",INDIRECT("R7.Video!D"&amp;SUM(18,38*5,16))))</f>
        <v/>
      </c>
      <c r="AG35" s="215" t="str" cm="1">
        <f t="array" aca="1" ref="AG35" ca="1">IF($B35="","",IF(ISBLANK(INDIRECT("R7.Video!D"&amp;SUM(18,38*6,16))),"",INDIRECT("R7.Video!D"&amp;SUM(18,38*6,16))))</f>
        <v/>
      </c>
      <c r="AH35" s="215" t="str" cm="1">
        <f t="array" aca="1" ref="AH35" ca="1">IF($B35="","",IF(ISBLANK(INDIRECT("R7.Video!D"&amp;SUM(18,38*7,16))),"",INDIRECT("R7.Video!D"&amp;SUM(18,38*7,16))))</f>
        <v/>
      </c>
      <c r="AI35" s="215" t="str" cm="1">
        <f t="array" aca="1" ref="AI35" ca="1">IF($B35="","",IF(ISBLANK(INDIRECT("R7.Video!D"&amp;SUM(18,38*8,16))),"",INDIRECT("R7.Video!D"&amp;SUM(18,38*8,16))))</f>
        <v/>
      </c>
      <c r="AJ35" s="215" t="str" cm="1">
        <f t="array" aca="1" ref="AJ35" ca="1">IF($B35="","",IF(ISBLANK(INDIRECT("R9.Web!D"&amp;SUM(18,38*0,16))),"",INDIRECT("R9.Web!D"&amp;SUM(18,38*0,16))))</f>
        <v/>
      </c>
      <c r="AK35" s="215" t="str" cm="1">
        <f t="array" aca="1" ref="AK35" ca="1">IF($B35="","",IF(ISBLANK(INDIRECT("R9.Web!D"&amp;SUM(18,38*1,16))),"",INDIRECT("R9.Web!D"&amp;SUM(18,38*1,16))))</f>
        <v/>
      </c>
      <c r="AL35" s="215" t="str" cm="1">
        <f t="array" aca="1" ref="AL35" ca="1">IF($B35="","",IF(ISBLANK(INDIRECT("R9.Web!D"&amp;SUM(18,38*2,16))),"",INDIRECT("R9.Web!D"&amp;SUM(18,38*2,16))))</f>
        <v/>
      </c>
      <c r="AM35" s="215" t="str" cm="1">
        <f t="array" aca="1" ref="AM35" ca="1">IF($B35="","",IF(ISBLANK(INDIRECT("R9.Web!D"&amp;SUM(18,38*3,16))),"",INDIRECT("R9.Web!D"&amp;SUM(18,38*3,16))))</f>
        <v/>
      </c>
      <c r="AN35" s="215" t="str" cm="1">
        <f t="array" aca="1" ref="AN35" ca="1">IF($B35="","",IF(ISBLANK(INDIRECT("R9.Web!D"&amp;SUM(18,38*4,16))),"",INDIRECT("R9.Web!D"&amp;SUM(18,38*4,16))))</f>
        <v/>
      </c>
      <c r="AO35" s="215" t="str" cm="1">
        <f t="array" aca="1" ref="AO35" ca="1">IF($B35="","",IF(ISBLANK(INDIRECT("R9.Web!D"&amp;SUM(18,38*5,16))),"",INDIRECT("R9.Web!D"&amp;SUM(18,38*5,16))))</f>
        <v/>
      </c>
      <c r="AP35" s="215" t="str" cm="1">
        <f t="array" aca="1" ref="AP35" ca="1">IF($B35="","",IF(ISBLANK(INDIRECT("R9.Web!D"&amp;SUM(18,38*6,16))),"",INDIRECT("R9.Web!D"&amp;SUM(18,38*6,16))))</f>
        <v/>
      </c>
      <c r="AQ35" s="215" t="str" cm="1">
        <f t="array" aca="1" ref="AQ35" ca="1">IF($B35="","",IF(ISBLANK(INDIRECT("R9.Web!D"&amp;SUM(18,38*7,16))),"",INDIRECT("R9.Web!D"&amp;SUM(18,38*7,16))))</f>
        <v/>
      </c>
      <c r="AR35" s="215" t="str" cm="1">
        <f t="array" aca="1" ref="AR35" ca="1">IF($B35="","",IF(ISBLANK(INDIRECT("R9.Web!D"&amp;SUM(18,38*8,16))),"",INDIRECT("R9.Web!D"&amp;SUM(18,38*8,16))))</f>
        <v/>
      </c>
      <c r="AS35" s="215" t="str" cm="1">
        <f t="array" aca="1" ref="AS35" ca="1">IF($B35="","",IF(ISBLANK(INDIRECT("R9.Web!D"&amp;SUM(18,38*9,16))),"",INDIRECT("R9.Web!D"&amp;SUM(18,38*9,16))))</f>
        <v/>
      </c>
      <c r="AT35" s="215" t="str" cm="1">
        <f t="array" aca="1" ref="AT35" ca="1">IF($B35="","",IF(ISBLANK(INDIRECT("R9.Web!D"&amp;SUM(18,38*10,16))),"",INDIRECT("R9.Web!D"&amp;SUM(18,38*10,16))))</f>
        <v/>
      </c>
      <c r="AU35" s="215" t="str" cm="1">
        <f t="array" aca="1" ref="AU35" ca="1">IF($B35="","",IF(ISBLANK(INDIRECT("R9.Web!D"&amp;SUM(18,38*11,16))),"",INDIRECT("R9.Web!D"&amp;SUM(18,38*11,16))))</f>
        <v/>
      </c>
      <c r="AV35" s="215" t="str" cm="1">
        <f t="array" aca="1" ref="AV35" ca="1">IF($B35="","",IF(ISBLANK(INDIRECT("R9.Web!D"&amp;SUM(18,38*12,16))),"",INDIRECT("R9.Web!D"&amp;SUM(18,38*12,16))))</f>
        <v/>
      </c>
      <c r="AW35" s="215" t="str" cm="1">
        <f t="array" aca="1" ref="AW35" ca="1">IF($B35="","",IF(ISBLANK(INDIRECT("R9.Web!D"&amp;SUM(18,38*13,16))),"",INDIRECT("R9.Web!D"&amp;SUM(18,38*13,16))))</f>
        <v/>
      </c>
      <c r="AX35" s="215" t="str" cm="1">
        <f t="array" aca="1" ref="AX35" ca="1">IF($B35="","",IF(ISBLANK(INDIRECT("R9.Web!D"&amp;SUM(18,38*14,16))),"",INDIRECT("R9.Web!D"&amp;SUM(18,38*14,16))))</f>
        <v/>
      </c>
      <c r="AY35" s="215" t="str" cm="1">
        <f t="array" aca="1" ref="AY35" ca="1">IF($B35="","",IF(ISBLANK(INDIRECT("R9.Web!D"&amp;SUM(18,38*15,16))),"",INDIRECT("R9.Web!D"&amp;SUM(18,38*15,16))))</f>
        <v/>
      </c>
      <c r="AZ35" s="215" t="str" cm="1">
        <f t="array" aca="1" ref="AZ35" ca="1">IF($B35="","",IF(ISBLANK(INDIRECT("R9.Web!D"&amp;SUM(18,38*16,16))),"",INDIRECT("R9.Web!D"&amp;SUM(18,38*16,16))))</f>
        <v/>
      </c>
      <c r="BA35" s="215" t="str" cm="1">
        <f t="array" aca="1" ref="BA35" ca="1">IF($B35="","",IF(ISBLANK(INDIRECT("R9.Web!D"&amp;SUM(18,38*17,16))),"",INDIRECT("R9.Web!D"&amp;SUM(18,38*17,16))))</f>
        <v/>
      </c>
      <c r="BB35" s="215" t="str" cm="1">
        <f t="array" aca="1" ref="BB35" ca="1">IF($B35="","",IF(ISBLANK(INDIRECT("R9.Web!D"&amp;SUM(18,38*18,16))),"",INDIRECT("R9.Web!D"&amp;SUM(18,38*18,16))))</f>
        <v/>
      </c>
      <c r="BC35" s="215" t="str" cm="1">
        <f t="array" aca="1" ref="BC35" ca="1">IF($B35="","",IF(ISBLANK(INDIRECT("R9.Web!D"&amp;SUM(18,38*19,16))),"",INDIRECT("R9.Web!D"&amp;SUM(18,38*19,16))))</f>
        <v/>
      </c>
      <c r="BD35" s="215" t="str" cm="1">
        <f t="array" aca="1" ref="BD35" ca="1">IF($B35="","",IF(ISBLANK(INDIRECT("R9.Web!D"&amp;SUM(18,38*20,16))),"",INDIRECT("R9.Web!D"&amp;SUM(18,38*20,16))))</f>
        <v/>
      </c>
      <c r="BE35" s="215" t="str" cm="1">
        <f t="array" aca="1" ref="BE35" ca="1">IF($B35="","",IF(ISBLANK(INDIRECT("R9.Web!D"&amp;SUM(18,38*21,16))),"",INDIRECT("R9.Web!D"&amp;SUM(18,38*21,16))))</f>
        <v/>
      </c>
      <c r="BF35" s="215" t="str" cm="1">
        <f t="array" aca="1" ref="BF35" ca="1">IF($B35="","",IF(ISBLANK(INDIRECT("R9.Web!D"&amp;SUM(18,38*22,16))),"",INDIRECT("R9.Web!D"&amp;SUM(18,38*22,16))))</f>
        <v/>
      </c>
      <c r="BG35" s="215" t="str" cm="1">
        <f t="array" aca="1" ref="BG35" ca="1">IF($B35="","",IF(ISBLANK(INDIRECT("R9.Web!D"&amp;SUM(18,38*23,16))),"",INDIRECT("R9.Web!D"&amp;SUM(18,38*23,16))))</f>
        <v/>
      </c>
      <c r="BH35" s="215" t="str" cm="1">
        <f t="array" aca="1" ref="BH35" ca="1">IF($B35="","",IF(ISBLANK(INDIRECT("R9.Web!D"&amp;SUM(18,38*24,16))),"",INDIRECT("R9.Web!D"&amp;SUM(18,38*24,16))))</f>
        <v/>
      </c>
      <c r="BI35" s="215" t="str" cm="1">
        <f t="array" aca="1" ref="BI35" ca="1">IF($B35="","",IF(ISBLANK(INDIRECT("R9.Web!D"&amp;SUM(18,38*25,16))),"",INDIRECT("R9.Web!D"&amp;SUM(18,38*25,16))))</f>
        <v/>
      </c>
      <c r="BJ35" s="215" t="str" cm="1">
        <f t="array" aca="1" ref="BJ35" ca="1">IF($B35="","",IF(ISBLANK(INDIRECT("R9.Web!D"&amp;SUM(18,38*26,16))),"",INDIRECT("R9.Web!D"&amp;SUM(18,38*26,16))))</f>
        <v/>
      </c>
      <c r="BK35" s="215" t="str" cm="1">
        <f t="array" aca="1" ref="BK35" ca="1">IF($B35="","",IF(ISBLANK(INDIRECT("R9.Web!D"&amp;SUM(18,38*27,16))),"",INDIRECT("R9.Web!D"&amp;SUM(18,38*27,16))))</f>
        <v/>
      </c>
      <c r="BL35" s="215" t="str" cm="1">
        <f t="array" aca="1" ref="BL35" ca="1">IF($B35="","",IF(ISBLANK(INDIRECT("R9.Web!D"&amp;SUM(18,38*28,16))),"",INDIRECT("R9.Web!D"&amp;SUM(18,38*28,16))))</f>
        <v/>
      </c>
      <c r="BM35" s="215" t="str" cm="1">
        <f t="array" aca="1" ref="BM35" ca="1">IF($B35="","",IF(ISBLANK(INDIRECT("R9.Web!D"&amp;SUM(18,38*29,16))),"",INDIRECT("R9.Web!D"&amp;SUM(18,38*29,16))))</f>
        <v/>
      </c>
      <c r="BN35" s="215" t="str" cm="1">
        <f t="array" aca="1" ref="BN35" ca="1">IF($B35="","",IF(ISBLANK(INDIRECT("R9.Web!D"&amp;SUM(18,38*30,16))),"",INDIRECT("R9.Web!D"&amp;SUM(18,38*30,16))))</f>
        <v/>
      </c>
      <c r="BO35" s="215" t="str" cm="1">
        <f t="array" aca="1" ref="BO35" ca="1">IF($B35="","",IF(ISBLANK(INDIRECT("R9.Web!D"&amp;SUM(18,38*31,16))),"",INDIRECT("R9.Web!D"&amp;SUM(18,38*31,16))))</f>
        <v/>
      </c>
      <c r="BP35" s="215" t="str" cm="1">
        <f t="array" aca="1" ref="BP35" ca="1">IF($B35="","",IF(ISBLANK(INDIRECT("R9.Web!D"&amp;SUM(18,38*32,16))),"",INDIRECT("R9.Web!D"&amp;SUM(18,38*32,16))))</f>
        <v/>
      </c>
      <c r="BQ35" s="215" t="str" cm="1">
        <f t="array" aca="1" ref="BQ35" ca="1">IF($B35="","",IF(ISBLANK(INDIRECT("R9.Web!D"&amp;SUM(18,38*33,16))),"",INDIRECT("R9.Web!D"&amp;SUM(18,38*33,16))))</f>
        <v/>
      </c>
      <c r="BR35" s="215" t="str" cm="1">
        <f t="array" aca="1" ref="BR35" ca="1">IF($B35="","",IF(ISBLANK(INDIRECT("R9.Web!D"&amp;SUM(18,38*34,16))),"",INDIRECT("R9.Web!D"&amp;SUM(18,38*34,16))))</f>
        <v/>
      </c>
      <c r="BS35" s="215" t="str" cm="1">
        <f t="array" aca="1" ref="BS35" ca="1">IF($B35="","",IF(ISBLANK(INDIRECT("R9.Web!D"&amp;SUM(18,38*35,16))),"",INDIRECT("R9.Web!D"&amp;SUM(18,38*35,16))))</f>
        <v/>
      </c>
      <c r="BT35" s="215" t="str" cm="1">
        <f t="array" aca="1" ref="BT35" ca="1">IF($B35="","",IF(ISBLANK(INDIRECT("R9.Web!D"&amp;SUM(18,38*36,16))),"",INDIRECT("R9.Web!D"&amp;SUM(18,38*36,16))))</f>
        <v/>
      </c>
      <c r="BU35" s="215" t="str" cm="1">
        <f t="array" aca="1" ref="BU35" ca="1">IF($B35="","",IF(ISBLANK(INDIRECT("R9.Web!D"&amp;SUM(18,38*37,16))),"",INDIRECT("R9.Web!D"&amp;SUM(18,38*37,16))))</f>
        <v/>
      </c>
      <c r="BV35" s="215" t="str" cm="1">
        <f t="array" aca="1" ref="BV35" ca="1">IF($B35="","",IF(ISBLANK(INDIRECT("R9.Web!D"&amp;SUM(18,38*38,16))),"",INDIRECT("R9.Web!D"&amp;SUM(18,38*38,16))))</f>
        <v/>
      </c>
      <c r="BW35" s="215" t="str" cm="1">
        <f t="array" aca="1" ref="BW35" ca="1">IF($B35="","",IF(ISBLANK(INDIRECT("R9.Web!D"&amp;SUM(18,38*39,16))),"",INDIRECT("R9.Web!D"&amp;SUM(18,38*39,16))))</f>
        <v/>
      </c>
      <c r="BX35" s="215" t="str" cm="1">
        <f t="array" aca="1" ref="BX35" ca="1">IF($B35="","",IF(ISBLANK(INDIRECT("R9.Web!D"&amp;SUM(18,38*40,16))),"",INDIRECT("R9.Web!D"&amp;SUM(18,38*40,16))))</f>
        <v/>
      </c>
      <c r="BY35" s="215" t="str" cm="1">
        <f t="array" aca="1" ref="BY35" ca="1">IF($B35="","",IF(ISBLANK(INDIRECT("R9.Web!D"&amp;SUM(18,38*41,16))),"",INDIRECT("R9.Web!D"&amp;SUM(18,38*41,16))))</f>
        <v/>
      </c>
      <c r="BZ35" s="215" t="str" cm="1">
        <f t="array" aca="1" ref="BZ35" ca="1">IF($B35="","",IF(ISBLANK(INDIRECT("R9.Web!D"&amp;SUM(18,38*42,16))),"",INDIRECT("R9.Web!D"&amp;SUM(18,38*42,16))))</f>
        <v/>
      </c>
      <c r="CA35" s="215" t="str" cm="1">
        <f t="array" aca="1" ref="CA35" ca="1">IF($B35="","",IF(ISBLANK(INDIRECT("R9.Web!D"&amp;SUM(18,38*43,16))),"",INDIRECT("R9.Web!D"&amp;SUM(18,38*43,16))))</f>
        <v/>
      </c>
      <c r="CB35" s="215" t="str" cm="1">
        <f t="array" aca="1" ref="CB35" ca="1">IF($B35="","",IF(ISBLANK(INDIRECT("R9.Web!D"&amp;SUM(18,38*44,16))),"",INDIRECT("R9.Web!D"&amp;SUM(18,38*44,16))))</f>
        <v/>
      </c>
      <c r="CC35" s="215" t="str" cm="1">
        <f t="array" aca="1" ref="CC35" ca="1">IF($B35="","",IF(ISBLANK(INDIRECT("R9.Web!D"&amp;SUM(18,38*45,16))),"",INDIRECT("R9.Web!D"&amp;SUM(18,38*45,16))))</f>
        <v/>
      </c>
      <c r="CD35" s="215" t="str" cm="1">
        <f t="array" aca="1" ref="CD35" ca="1">IF($B35="","",IF(ISBLANK(INDIRECT("R9.Web!D"&amp;SUM(18,38*46,16))),"",INDIRECT("R9.Web!D"&amp;SUM(18,38*46,16))))</f>
        <v/>
      </c>
      <c r="CE35" s="215" t="str" cm="1">
        <f t="array" aca="1" ref="CE35" ca="1">IF($B35="","",IF(ISBLANK(INDIRECT("R9.Web!D"&amp;SUM(18,38*47,16))),"",INDIRECT("R9.Web!D"&amp;SUM(18,38*47,16))))</f>
        <v/>
      </c>
      <c r="CF35" s="215" t="str" cm="1">
        <f t="array" aca="1" ref="CF35" ca="1">IF($B35="","",IF(ISBLANK(INDIRECT("R9.Web!D"&amp;SUM(18,38*48,16))),"",INDIRECT("R9.Web!D"&amp;SUM(18,38*48,16))))</f>
        <v/>
      </c>
      <c r="CG35" s="215" t="str" cm="1">
        <f t="array" aca="1" ref="CG35" ca="1">IF($B35="","",IF(ISBLANK(INDIRECT("R9.Web!D"&amp;SUM(18,38*49,16))),"",INDIRECT("R9.Web!D"&amp;SUM(18,38*49,16))))</f>
        <v/>
      </c>
      <c r="CH35" s="215" t="str" cm="1">
        <f t="array" aca="1" ref="CH35" ca="1">IF($B35="","",IF(ISBLANK(INDIRECT("R11.Software!D"&amp;SUM(18,38*0,16))),"",INDIRECT("R11.Software!D"&amp;SUM(18,38*0,16))))</f>
        <v/>
      </c>
      <c r="CI35" s="215" t="str" cm="1">
        <f t="array" aca="1" ref="CI35" ca="1">IF($B35="","",IF(ISBLANK(INDIRECT("R11.Software!D"&amp;SUM(18,38*1,16))),"",INDIRECT("R11.Software!D"&amp;SUM(18,38*1,16))))</f>
        <v/>
      </c>
      <c r="CJ35" s="215" t="str" cm="1">
        <f t="array" aca="1" ref="CJ35" ca="1">IF($B35="","",IF(ISBLANK(INDIRECT("R11.Software!D"&amp;SUM(18,38*2,16))),"",INDIRECT("R11.Software!D"&amp;SUM(18,38*2,16))))</f>
        <v/>
      </c>
      <c r="CK35" s="215" t="str" cm="1">
        <f t="array" aca="1" ref="CK35" ca="1">IF($B35="","",IF(ISBLANK(INDIRECT("R11.Software!D"&amp;SUM(18,38*3,16))),"",INDIRECT("R11.Software!D"&amp;SUM(18,38*3,16))))</f>
        <v/>
      </c>
      <c r="CL35" s="215" t="str" cm="1">
        <f t="array" aca="1" ref="CL35" ca="1">IF($B35="","",IF(ISBLANK(INDIRECT("R11.Software!D"&amp;SUM(18,38*4,16))),"",INDIRECT("R11.Software!D"&amp;SUM(18,38*4,16))))</f>
        <v/>
      </c>
      <c r="CM35" s="215" t="str" cm="1">
        <f t="array" aca="1" ref="CM35" ca="1">IF($B35="","",IF(ISBLANK(INDIRECT("R11.Software!D"&amp;SUM(18,38*5,16))),"",INDIRECT("R11.Software!D"&amp;SUM(18,38*5,16))))</f>
        <v/>
      </c>
      <c r="CN35" s="215" t="str" cm="1">
        <f t="array" aca="1" ref="CN35" ca="1">IF($B35="","",IF(ISBLANK(INDIRECT("R12.ServiciosApoyo!D"&amp;SUM(18,38*0,16))),"",INDIRECT("R12.ServiciosApoyo!D"&amp;SUM(18,38*0,16))))</f>
        <v/>
      </c>
      <c r="CO35" s="215" t="str" cm="1">
        <f t="array" aca="1" ref="CO35" ca="1">IF($B35="","",IF(ISBLANK(INDIRECT("R12.ServiciosApoyo!D"&amp;SUM(18,38*1,16))),"",INDIRECT("R12.ServiciosApoyo!D"&amp;SUM(18,38*1,16))))</f>
        <v/>
      </c>
      <c r="CP35" s="215" t="str" cm="1">
        <f t="array" aca="1" ref="CP35" ca="1">IF($B35="","",IF(ISBLANK(INDIRECT("R12.ServiciosApoyo!D"&amp;SUM(18,38*2,16))),"",INDIRECT("R12.ServiciosApoyo!D"&amp;SUM(18,38*2,16))))</f>
        <v/>
      </c>
      <c r="CQ35" s="215" t="str" cm="1">
        <f t="array" aca="1" ref="CQ35" ca="1">IF($B35="","",IF(ISBLANK(INDIRECT("R12.ServiciosApoyo!D"&amp;SUM(18,38*3,16))),"",INDIRECT("R12.ServiciosApoyo!D"&amp;SUM(18,38*3,16))))</f>
        <v/>
      </c>
      <c r="CR35" s="215" t="str" cm="1">
        <f t="array" aca="1" ref="CR35" ca="1">IF($B35="","",IF(ISBLANK(INDIRECT("R12.ServiciosApoyo!D"&amp;SUM(18,38*4,16))),"",INDIRECT("R12.ServiciosApoyo!D"&amp;SUM(18,38*4,16))))</f>
        <v/>
      </c>
      <c r="CU35" s="100"/>
      <c r="CV35" s="29"/>
      <c r="CW35" s="29"/>
      <c r="CX35" s="29"/>
    </row>
    <row r="36" spans="2:102" ht="20.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N/A</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CONFORME</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CONFORME</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NO CONFORME</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N/A</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89" t="s">
        <v>154</v>
      </c>
      <c r="C58" s="289"/>
      <c r="D58" s="28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3" t="s">
        <v>50</v>
      </c>
      <c r="C59" s="284"/>
      <c r="D59" s="28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topLeftCell="A4" zoomScale="90" zoomScaleNormal="90" workbookViewId="0">
      <selection activeCell="N2" sqref="N2"/>
    </sheetView>
  </sheetViews>
  <sheetFormatPr baseColWidth="10" defaultRowHeight="12.5"/>
  <cols>
    <col min="13" max="13" width="12.26953125" customWidth="1"/>
    <col min="14" max="14" width="13.453125" customWidth="1"/>
  </cols>
  <sheetData>
    <row r="1" spans="1:64" s="40" customFormat="1" ht="25.4"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4" customHeight="1">
      <c r="B4" s="292" t="s">
        <v>89</v>
      </c>
      <c r="C4" s="292"/>
      <c r="D4" s="292"/>
      <c r="E4" s="292"/>
      <c r="F4" s="292"/>
      <c r="G4" s="292"/>
      <c r="H4" s="292"/>
      <c r="I4" s="292"/>
      <c r="J4" s="292"/>
      <c r="K4" s="292"/>
      <c r="L4" s="292"/>
      <c r="M4" s="292"/>
      <c r="N4" s="292"/>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0" t="s">
        <v>479</v>
      </c>
      <c r="C6" s="290"/>
      <c r="D6" s="290"/>
      <c r="E6" s="290"/>
      <c r="F6" s="290"/>
      <c r="G6" s="290"/>
      <c r="H6" s="290"/>
      <c r="I6" s="290"/>
      <c r="J6" s="290"/>
      <c r="K6" s="290"/>
      <c r="L6" s="290"/>
      <c r="M6" s="290"/>
      <c r="N6" s="290"/>
    </row>
    <row r="7" spans="1:64" ht="172.5" customHeight="1">
      <c r="A7" s="40"/>
      <c r="B7" s="291"/>
      <c r="C7" s="291"/>
      <c r="D7" s="291"/>
      <c r="E7" s="291"/>
      <c r="F7" s="291"/>
      <c r="G7" s="291"/>
      <c r="H7" s="291"/>
      <c r="I7" s="291"/>
      <c r="J7" s="291"/>
      <c r="K7" s="291"/>
      <c r="L7" s="291"/>
      <c r="M7" s="291"/>
      <c r="N7" s="291"/>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1"/>
      <c r="C8" s="291"/>
      <c r="D8" s="291"/>
      <c r="E8" s="291"/>
      <c r="F8" s="291"/>
      <c r="G8" s="291"/>
      <c r="H8" s="291"/>
      <c r="I8" s="291"/>
      <c r="J8" s="291"/>
      <c r="K8" s="291"/>
      <c r="L8" s="291"/>
      <c r="M8" s="291"/>
      <c r="N8" s="291"/>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W56"/>
  <sheetViews>
    <sheetView zoomScale="80" zoomScaleNormal="80" workbookViewId="0">
      <selection activeCell="V24" sqref="V24"/>
    </sheetView>
  </sheetViews>
  <sheetFormatPr baseColWidth="10" defaultColWidth="11.5429687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54296875" customWidth="1"/>
    <col min="12" max="12" width="3.81640625" customWidth="1"/>
    <col min="13" max="13" width="8.7265625" customWidth="1"/>
    <col min="14" max="14" width="3.81640625" customWidth="1"/>
    <col min="15" max="15" width="25.26953125" customWidth="1"/>
    <col min="16" max="16" width="3.81640625" customWidth="1"/>
    <col min="18" max="18" width="3.81640625" customWidth="1"/>
    <col min="19" max="19" width="22.54296875" customWidth="1"/>
    <col min="20" max="20" width="3.81640625" customWidth="1"/>
    <col min="21" max="21" width="11.5429687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5">
      <c r="B23" s="33" t="s">
        <v>82</v>
      </c>
    </row>
    <row r="25" spans="2:15" ht="15.5">
      <c r="B25" s="34" t="s">
        <v>83</v>
      </c>
      <c r="C25" s="35">
        <v>0.1</v>
      </c>
    </row>
    <row r="26" spans="2:15" ht="15.5">
      <c r="B26" s="34" t="s">
        <v>84</v>
      </c>
      <c r="C26" s="35">
        <v>0.5</v>
      </c>
    </row>
    <row r="27" spans="2:15" ht="15.5">
      <c r="B27" s="34" t="s">
        <v>85</v>
      </c>
      <c r="C27" s="35">
        <v>1</v>
      </c>
    </row>
    <row r="28" spans="2:15">
      <c r="C28" s="36"/>
      <c r="D28" s="36"/>
    </row>
    <row r="29" spans="2:15">
      <c r="C29" s="36"/>
      <c r="D29" s="36"/>
    </row>
    <row r="30" spans="2:15" ht="14">
      <c r="B30" s="37" t="s">
        <v>86</v>
      </c>
      <c r="C30" s="38"/>
      <c r="D30" s="38"/>
    </row>
    <row r="31" spans="2:15" ht="14">
      <c r="B31" s="39"/>
      <c r="C31" s="38"/>
      <c r="D31" s="38"/>
    </row>
    <row r="32" spans="2:15" ht="14">
      <c r="B32" s="39" t="s">
        <v>87</v>
      </c>
      <c r="C32" s="39">
        <v>28</v>
      </c>
      <c r="D32" s="39"/>
    </row>
    <row r="33" spans="2:4" ht="14">
      <c r="B33" s="39" t="s">
        <v>88</v>
      </c>
      <c r="C33" s="39">
        <v>16</v>
      </c>
      <c r="D33" s="39"/>
    </row>
    <row r="34" spans="2:4" ht="14">
      <c r="B34" s="39"/>
      <c r="C34" s="39"/>
      <c r="D34" s="39"/>
    </row>
    <row r="35" spans="2:4" ht="14">
      <c r="B35" s="39"/>
      <c r="C35" s="39"/>
      <c r="D35" s="39"/>
    </row>
    <row r="36" spans="2:4" ht="14">
      <c r="B36" s="39"/>
      <c r="C36" s="39"/>
      <c r="D36" s="39"/>
    </row>
    <row r="37" spans="2:4" ht="14">
      <c r="B37" s="39"/>
      <c r="C37" s="39"/>
      <c r="D37" s="39"/>
    </row>
    <row r="38" spans="2:4" ht="14">
      <c r="B38" s="39"/>
      <c r="C38" s="39"/>
      <c r="D38" s="39"/>
    </row>
    <row r="39" spans="2:4" ht="14">
      <c r="B39" s="39"/>
      <c r="C39" s="39"/>
      <c r="D39" s="39"/>
    </row>
    <row r="40" spans="2:4" ht="14">
      <c r="B40" s="39"/>
      <c r="C40" s="39"/>
    </row>
    <row r="41" spans="2:4" ht="14">
      <c r="B41" s="39"/>
      <c r="C41" s="39"/>
    </row>
    <row r="42" spans="2:4" ht="14">
      <c r="B42" s="39"/>
      <c r="C42" s="39"/>
    </row>
    <row r="43" spans="2:4" ht="14">
      <c r="B43" s="39"/>
      <c r="C43" s="39"/>
    </row>
    <row r="44" spans="2:4" ht="14">
      <c r="B44" s="39"/>
      <c r="C44" s="39"/>
    </row>
    <row r="45" spans="2:4" ht="14">
      <c r="B45" s="39"/>
      <c r="C45" s="39"/>
    </row>
    <row r="46" spans="2:4" ht="14">
      <c r="B46" s="39"/>
      <c r="C46" s="39"/>
    </row>
    <row r="47" spans="2:4" ht="14">
      <c r="B47" s="39"/>
      <c r="C47" s="39"/>
    </row>
    <row r="48" spans="2:4" ht="14">
      <c r="B48" s="39"/>
      <c r="C48" s="39"/>
    </row>
    <row r="49" spans="2:3" ht="14">
      <c r="B49" s="39"/>
      <c r="C49" s="39"/>
    </row>
    <row r="50" spans="2:3" ht="14">
      <c r="B50" s="39"/>
      <c r="C50" s="39"/>
    </row>
    <row r="51" spans="2:3" ht="14">
      <c r="B51" s="39"/>
      <c r="C51" s="39"/>
    </row>
    <row r="52" spans="2:3" ht="14">
      <c r="B52" s="39"/>
      <c r="C52" s="39"/>
    </row>
    <row r="53" spans="2:3" ht="14">
      <c r="B53" s="39"/>
      <c r="C53" s="39"/>
    </row>
    <row r="54" spans="2:3" ht="14">
      <c r="B54" s="39"/>
      <c r="C54" s="39"/>
    </row>
    <row r="55" spans="2:3" ht="14">
      <c r="B55" s="39"/>
      <c r="C55" s="39"/>
    </row>
    <row r="56" spans="2:3" ht="14">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53125" defaultRowHeight="12.5"/>
  <cols>
    <col min="1" max="1" width="11.453125" style="40"/>
    <col min="2" max="2" width="13.453125" style="40" bestFit="1" customWidth="1"/>
    <col min="3" max="3" width="48.453125" style="40" customWidth="1"/>
    <col min="4" max="4" width="14.26953125" style="40" customWidth="1"/>
    <col min="5" max="5" width="14.1796875" style="40" customWidth="1"/>
    <col min="6" max="8" width="11.453125" style="40"/>
    <col min="9" max="9" width="2.453125" style="40" customWidth="1"/>
    <col min="10" max="10" width="2.7265625" style="40" customWidth="1"/>
    <col min="11" max="11" width="27.54296875" style="40" customWidth="1"/>
    <col min="12" max="12" width="11.453125" style="40"/>
    <col min="13" max="13" width="12.26953125" style="40" bestFit="1" customWidth="1"/>
    <col min="14" max="14" width="9.1796875" style="40" bestFit="1" customWidth="1"/>
    <col min="15" max="15" width="5.54296875" style="40" bestFit="1" customWidth="1"/>
    <col min="16" max="16" width="8.81640625" style="40" bestFit="1" customWidth="1"/>
    <col min="17" max="19" width="3.54296875" style="40" customWidth="1"/>
    <col min="20" max="20" width="11.453125" style="40"/>
    <col min="21" max="21" width="14.81640625" style="40" bestFit="1" customWidth="1"/>
    <col min="22" max="22" width="21.26953125" style="40" bestFit="1" customWidth="1"/>
    <col min="23" max="25" width="11.453125" style="40"/>
    <col min="26" max="26" width="21.26953125" style="40" bestFit="1" customWidth="1"/>
    <col min="27" max="119" width="11.453125" style="40"/>
    <col min="120" max="120" width="14.81640625" style="40" bestFit="1" customWidth="1"/>
    <col min="121" max="124" width="11.453125" style="40"/>
    <col min="125" max="125" width="21.26953125" style="40" bestFit="1" customWidth="1"/>
    <col min="126" max="16384" width="11.453125" style="40"/>
  </cols>
  <sheetData>
    <row r="1" spans="1:170" ht="13">
      <c r="A1" s="144" t="s">
        <v>124</v>
      </c>
      <c r="B1" s="144"/>
      <c r="C1" s="144" t="s">
        <v>125</v>
      </c>
      <c r="D1" s="144"/>
      <c r="E1" s="144" t="s">
        <v>342</v>
      </c>
      <c r="F1" s="144"/>
      <c r="G1" s="144"/>
      <c r="H1" s="144"/>
      <c r="I1" s="144"/>
      <c r="J1" s="144"/>
      <c r="K1" s="144" t="s">
        <v>345</v>
      </c>
      <c r="L1" s="144"/>
      <c r="M1" s="144"/>
      <c r="T1" s="294" t="s">
        <v>361</v>
      </c>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3" t="s">
        <v>476</v>
      </c>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93"/>
      <c r="ET1" s="293"/>
      <c r="EU1" s="293"/>
      <c r="EV1" s="293"/>
      <c r="EW1" s="293"/>
      <c r="EX1" s="293"/>
      <c r="EY1" s="293"/>
      <c r="EZ1" s="293"/>
      <c r="FA1" s="293"/>
      <c r="FB1" s="293"/>
      <c r="FC1" s="293"/>
      <c r="FD1" s="293"/>
      <c r="FE1" s="293"/>
      <c r="FF1" s="293"/>
      <c r="FG1" s="293"/>
      <c r="FH1" s="293"/>
      <c r="FI1" s="293"/>
      <c r="FJ1" s="293"/>
      <c r="FK1" s="293"/>
      <c r="FL1" s="293"/>
      <c r="FM1" s="293"/>
      <c r="FN1" s="293"/>
    </row>
    <row r="2" spans="1:170" ht="13">
      <c r="A2" s="40" t="s">
        <v>126</v>
      </c>
      <c r="B2" s="146" t="str">
        <f>'00.Info'!N2</f>
        <v>Versión: 2.0.1</v>
      </c>
      <c r="C2" s="144" t="s">
        <v>127</v>
      </c>
      <c r="D2" s="147">
        <f>'01.Definición de ámbito'!C7</f>
        <v>0</v>
      </c>
      <c r="E2" s="144" t="s">
        <v>293</v>
      </c>
      <c r="F2" s="147" t="str">
        <f>'02.Tecnologías'!C9</f>
        <v>Sí</v>
      </c>
      <c r="G2" s="205" t="s">
        <v>343</v>
      </c>
      <c r="H2" s="205" t="s">
        <v>344</v>
      </c>
      <c r="I2" s="205"/>
      <c r="J2" s="205"/>
      <c r="K2" s="153" t="s">
        <v>346</v>
      </c>
      <c r="L2" s="207">
        <f>'03.Muestra'!D45</f>
        <v>5</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ht="13">
      <c r="C3" s="144" t="s">
        <v>132</v>
      </c>
      <c r="D3" s="147">
        <f>'01.Definición de ámbito'!C9</f>
        <v>0</v>
      </c>
      <c r="E3" s="144" t="s">
        <v>296</v>
      </c>
      <c r="F3" s="147" t="str">
        <f>'02.Tecnologías'!C10</f>
        <v>No</v>
      </c>
      <c r="G3" s="147">
        <f>'02.Tecnologías'!K13</f>
        <v>0</v>
      </c>
      <c r="H3" s="147">
        <f>'02.Tecnologías'!L13</f>
        <v>0</v>
      </c>
      <c r="I3" s="206"/>
      <c r="J3" s="206"/>
      <c r="K3" s="153" t="s">
        <v>347</v>
      </c>
      <c r="L3" s="207">
        <f>'03.Muestra'!D47</f>
        <v>5</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http://www.madrid.org/presupuestos</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N/A</v>
      </c>
      <c r="BI3" s="146" t="str">
        <f ca="1">RESULTADOS!AM20</f>
        <v>N/A</v>
      </c>
      <c r="BJ3" s="146" t="str">
        <f ca="1">RESULTADOS!AN20</f>
        <v>N/A</v>
      </c>
      <c r="BK3" s="146" t="str">
        <f ca="1">RESULTADOS!AO20</f>
        <v>Falla</v>
      </c>
      <c r="BL3" s="146" t="str">
        <f ca="1">RESULTADOS!AP20</f>
        <v>N/A</v>
      </c>
      <c r="BM3" s="146" t="str">
        <f ca="1">RESULTADOS!AQ20</f>
        <v>Pasa</v>
      </c>
      <c r="BN3" s="146" t="str">
        <f ca="1">RESULTADOS!AR20</f>
        <v>N/A</v>
      </c>
      <c r="BO3" s="146" t="str">
        <f ca="1">RESULTADOS!AS20</f>
        <v>N/A</v>
      </c>
      <c r="BP3" s="146" t="str">
        <f ca="1">RESULTADOS!AT20</f>
        <v>Pasa</v>
      </c>
      <c r="BQ3" s="146" t="str">
        <f ca="1">RESULTADOS!AU20</f>
        <v>N/A</v>
      </c>
      <c r="BR3" s="146" t="str">
        <f ca="1">RESULTADOS!AV20</f>
        <v>Falla</v>
      </c>
      <c r="BS3" s="146" t="str">
        <f ca="1">RESULTADOS!AW20</f>
        <v>Falla</v>
      </c>
      <c r="BT3" s="146" t="str">
        <f ca="1">RESULTADOS!AX20</f>
        <v>Pasa</v>
      </c>
      <c r="BU3" s="146" t="str">
        <f ca="1">RESULTADOS!AY20</f>
        <v>Falla</v>
      </c>
      <c r="BV3" s="146" t="str">
        <f ca="1">RESULTADOS!AZ20</f>
        <v>Pasa</v>
      </c>
      <c r="BW3" s="146" t="str">
        <f ca="1">RESULTADOS!BA20</f>
        <v>Pasa</v>
      </c>
      <c r="BX3" s="146" t="str">
        <f ca="1">RESULTADOS!BB20</f>
        <v>Pasa</v>
      </c>
      <c r="BY3" s="146" t="str">
        <f ca="1">RESULTADOS!BC20</f>
        <v>Pasa</v>
      </c>
      <c r="BZ3" s="146" t="str">
        <f ca="1">RESULTADOS!BD20</f>
        <v>Pasa</v>
      </c>
      <c r="CA3" s="146" t="str">
        <f ca="1">RESULTADOS!BE20</f>
        <v>Pasa</v>
      </c>
      <c r="CB3" s="146" t="str">
        <f ca="1">RESULTADOS!BF20</f>
        <v>N/A</v>
      </c>
      <c r="CC3" s="146" t="str">
        <f ca="1">RESULTADOS!BG20</f>
        <v>N/A</v>
      </c>
      <c r="CD3" s="146" t="str">
        <f ca="1">RESULTADOS!BH20</f>
        <v>N/A</v>
      </c>
      <c r="CE3" s="146" t="str">
        <f ca="1">RESULTADOS!BI20</f>
        <v>N/A</v>
      </c>
      <c r="CF3" s="146" t="str">
        <f ca="1">RESULTADOS!BJ20</f>
        <v>Pasa</v>
      </c>
      <c r="CG3" s="146" t="str">
        <f ca="1">RESULTADOS!BK20</f>
        <v>Pasa</v>
      </c>
      <c r="CH3" s="146" t="str">
        <f ca="1">RESULTADOS!BL20</f>
        <v>Falla</v>
      </c>
      <c r="CI3" s="146" t="str">
        <f ca="1">RESULTADOS!BM20</f>
        <v>Pasa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Falla</v>
      </c>
      <c r="CQ3" s="146" t="str">
        <f ca="1">RESULTADOS!BU20</f>
        <v>Falla</v>
      </c>
      <c r="CR3" s="146" t="str">
        <f ca="1">RESULTADOS!BV20</f>
        <v>Pasa</v>
      </c>
      <c r="CS3" s="146" t="str">
        <f ca="1">RESULTADOS!BW20</f>
        <v>Pasa</v>
      </c>
      <c r="CT3" s="146" t="str">
        <f ca="1">RESULTADOS!BX20</f>
        <v>Pasa</v>
      </c>
      <c r="CU3" s="146" t="str">
        <f ca="1">RESULTADOS!BY20</f>
        <v>Pasa</v>
      </c>
      <c r="CV3" s="146" t="str">
        <f ca="1">RESULTADOS!BZ20</f>
        <v>N/A</v>
      </c>
      <c r="CW3" s="146" t="str">
        <f ca="1">RESULTADOS!CA20</f>
        <v>Falla</v>
      </c>
      <c r="CX3" s="146" t="str">
        <f ca="1">RESULTADOS!CB20</f>
        <v>N/A</v>
      </c>
      <c r="CY3" s="146" t="str">
        <f ca="1">RESULTADOS!CC20</f>
        <v>N/A</v>
      </c>
      <c r="CZ3" s="146" t="str">
        <f ca="1">RESULTADOS!CD20</f>
        <v>Pasa</v>
      </c>
      <c r="DA3" s="146" t="str">
        <f ca="1">RESULTADOS!CE20</f>
        <v>Falla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Falla</v>
      </c>
      <c r="DL3" s="146" t="str">
        <f ca="1">RESULTADOS!CP20</f>
        <v>Falla</v>
      </c>
      <c r="DM3" s="146" t="str">
        <f ca="1">RESULTADOS!CQ20</f>
        <v>Pasa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ht="13">
      <c r="C4" s="144" t="s">
        <v>135</v>
      </c>
      <c r="D4" s="147">
        <f>'01.Definición de ámbito'!C11</f>
        <v>0</v>
      </c>
      <c r="E4" s="144" t="s">
        <v>299</v>
      </c>
      <c r="F4" s="147" t="str">
        <f>'02.Tecnologías'!C11</f>
        <v>No</v>
      </c>
      <c r="G4" s="147">
        <f>'02.Tecnologías'!K14</f>
        <v>0</v>
      </c>
      <c r="H4" s="147">
        <f>'02.Tecnologías'!L14</f>
        <v>0</v>
      </c>
      <c r="I4" s="206"/>
      <c r="J4" s="206"/>
      <c r="K4" s="153" t="s">
        <v>348</v>
      </c>
      <c r="L4" s="207">
        <f>'03.Muestra'!D49</f>
        <v>0</v>
      </c>
      <c r="M4" s="144"/>
      <c r="T4" s="148">
        <f>RESULTADOS!B21</f>
        <v>2</v>
      </c>
      <c r="U4" s="148" t="str">
        <f>RESULTADOS!C21</f>
        <v>Menu 1</v>
      </c>
      <c r="V4" s="148" t="str">
        <f t="shared" ref="V4:V37" si="0">IF(T4&lt;&gt;"","Página web","")</f>
        <v>Página web</v>
      </c>
      <c r="W4" s="148" t="str">
        <v>Pagina tipo</v>
      </c>
      <c r="X4" s="148" t="str">
        <f>RESULTADOS!D21</f>
        <v>http://www.madrid.org/presupuestos/index.php/presupuestos-generales/presupuestos-cm/2022</v>
      </c>
      <c r="Y4" s="148" t="str">
        <v>Home/Presupuestos generales</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N/A</v>
      </c>
      <c r="BM4" s="146" t="str">
        <f ca="1">RESULTADOS!AQ21</f>
        <v>Pasa</v>
      </c>
      <c r="BN4" s="146" t="str">
        <f ca="1">RESULTADOS!AR21</f>
        <v>N/A</v>
      </c>
      <c r="BO4" s="146" t="str">
        <f ca="1">RESULTADOS!AS21</f>
        <v>N/A</v>
      </c>
      <c r="BP4" s="146" t="str">
        <f ca="1">RESULTADOS!AT21</f>
        <v>Pasa</v>
      </c>
      <c r="BQ4" s="146" t="str">
        <f ca="1">RESULTADOS!AU21</f>
        <v>N/A</v>
      </c>
      <c r="BR4" s="146" t="str">
        <f ca="1">RESULTADOS!AV21</f>
        <v>Falla</v>
      </c>
      <c r="BS4" s="146" t="str">
        <f ca="1">RESULTADOS!AW21</f>
        <v>Falla</v>
      </c>
      <c r="BT4" s="146" t="str">
        <f ca="1">RESULTADOS!AX21</f>
        <v>Pasa</v>
      </c>
      <c r="BU4" s="146" t="str">
        <f ca="1">RESULTADOS!AY21</f>
        <v>Falla</v>
      </c>
      <c r="BV4" s="146" t="str">
        <f ca="1">RESULTADOS!AZ21</f>
        <v>Pasa</v>
      </c>
      <c r="BW4" s="146" t="str">
        <f ca="1">RESULTADOS!BA21</f>
        <v>Pasa</v>
      </c>
      <c r="BX4" s="146" t="str">
        <f ca="1">RESULTADOS!BB21</f>
        <v>Pasa</v>
      </c>
      <c r="BY4" s="146" t="str">
        <f ca="1">RESULTADOS!BC21</f>
        <v>Pasa</v>
      </c>
      <c r="BZ4" s="146" t="str">
        <f ca="1">RESULTADOS!BD21</f>
        <v>Pasa</v>
      </c>
      <c r="CA4" s="146" t="str">
        <f ca="1">RESULTADOS!BE21</f>
        <v>Pasa</v>
      </c>
      <c r="CB4" s="146" t="str">
        <f ca="1">RESULTADOS!BF21</f>
        <v>N/A</v>
      </c>
      <c r="CC4" s="146" t="str">
        <f ca="1">RESULTADOS!BG21</f>
        <v>N/A</v>
      </c>
      <c r="CD4" s="146" t="str">
        <f ca="1">RESULTADOS!BH21</f>
        <v>N/A</v>
      </c>
      <c r="CE4" s="146" t="str">
        <f ca="1">RESULTADOS!BI21</f>
        <v>N/A</v>
      </c>
      <c r="CF4" s="146" t="str">
        <f ca="1">RESULTADOS!BJ21</f>
        <v>Pasa</v>
      </c>
      <c r="CG4" s="146" t="str">
        <f ca="1">RESULTADOS!BK21</f>
        <v>Pasa</v>
      </c>
      <c r="CH4" s="146" t="str">
        <f ca="1">RESULTADOS!BL21</f>
        <v>Falla</v>
      </c>
      <c r="CI4" s="146" t="str">
        <f ca="1">RESULTADOS!BM21</f>
        <v>Pasa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Falla</v>
      </c>
      <c r="CQ4" s="146" t="str">
        <f ca="1">RESULTADOS!BU21</f>
        <v>Falla</v>
      </c>
      <c r="CR4" s="146" t="str">
        <f ca="1">RESULTADOS!BV21</f>
        <v>Pasa</v>
      </c>
      <c r="CS4" s="146" t="str">
        <f ca="1">RESULTADOS!BW21</f>
        <v>Pasa</v>
      </c>
      <c r="CT4" s="146" t="str">
        <f ca="1">RESULTADOS!BX21</f>
        <v>Pasa</v>
      </c>
      <c r="CU4" s="146" t="str">
        <f ca="1">RESULTADOS!BY21</f>
        <v>Pasa</v>
      </c>
      <c r="CV4" s="146" t="str">
        <f ca="1">RESULTADOS!BZ21</f>
        <v>N/A</v>
      </c>
      <c r="CW4" s="146" t="str">
        <f ca="1">RESULTADOS!CA21</f>
        <v>Falla</v>
      </c>
      <c r="CX4" s="146" t="str">
        <f ca="1">RESULTADOS!CB21</f>
        <v>N/A</v>
      </c>
      <c r="CY4" s="146" t="str">
        <f ca="1">RESULTADOS!CC21</f>
        <v>N/A</v>
      </c>
      <c r="CZ4" s="146" t="str">
        <f ca="1">RESULTADOS!CD21</f>
        <v>Pasa</v>
      </c>
      <c r="DA4" s="146" t="str">
        <f ca="1">RESULTADOS!CE21</f>
        <v>Pasa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Falla</v>
      </c>
      <c r="DL4" s="146" t="str">
        <f ca="1">RESULTADOS!CP21</f>
        <v>Falla</v>
      </c>
      <c r="DM4" s="146" t="str">
        <f ca="1">RESULTADOS!CQ21</f>
        <v>Pasa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ht="13">
      <c r="C5" s="144" t="s">
        <v>136</v>
      </c>
      <c r="D5" s="147">
        <f>'01.Definición de ámbito'!C13</f>
        <v>0</v>
      </c>
      <c r="E5" s="144" t="s">
        <v>302</v>
      </c>
      <c r="F5" s="147" t="str">
        <f>'02.Tecnologías'!C12</f>
        <v>Sí</v>
      </c>
      <c r="G5" s="147">
        <f>'02.Tecnologías'!K15</f>
        <v>0</v>
      </c>
      <c r="H5" s="147">
        <f>'02.Tecnologías'!L15</f>
        <v>0</v>
      </c>
      <c r="I5" s="206"/>
      <c r="J5" s="206"/>
      <c r="K5" s="153" t="s">
        <v>151</v>
      </c>
      <c r="L5" s="207" t="str">
        <f>'03.Muestra'!D52</f>
        <v>NO</v>
      </c>
      <c r="M5" s="144"/>
      <c r="T5" s="148">
        <f>RESULTADOS!B22</f>
        <v>3</v>
      </c>
      <c r="U5" s="148" t="str">
        <f>RESULTADOS!C22</f>
        <v>Menu 2</v>
      </c>
      <c r="V5" s="148" t="str">
        <f t="shared" si="0"/>
        <v>Página web</v>
      </c>
      <c r="W5" s="148" t="str">
        <v>Pagina tipo</v>
      </c>
      <c r="X5" s="148" t="str">
        <f>RESULTADOS!D22</f>
        <v>http://www.madrid.org/presupuestos/index.php/ejecucion-presupuestaria</v>
      </c>
      <c r="Y5" s="148" t="str">
        <v>Home/Ejecucion Presupuestaria</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N/A</v>
      </c>
      <c r="BM5" s="146" t="str">
        <f ca="1">RESULTADOS!AQ22</f>
        <v>Pasa</v>
      </c>
      <c r="BN5" s="146" t="str">
        <f ca="1">RESULTADOS!AR22</f>
        <v>N/A</v>
      </c>
      <c r="BO5" s="146" t="str">
        <f ca="1">RESULTADOS!AS22</f>
        <v>N/A</v>
      </c>
      <c r="BP5" s="146" t="str">
        <f ca="1">RESULTADOS!AT22</f>
        <v>Pasa</v>
      </c>
      <c r="BQ5" s="146" t="str">
        <f ca="1">RESULTADOS!AU22</f>
        <v>N/A</v>
      </c>
      <c r="BR5" s="146" t="str">
        <f ca="1">RESULTADOS!AV22</f>
        <v>Falla</v>
      </c>
      <c r="BS5" s="146" t="str">
        <f ca="1">RESULTADOS!AW22</f>
        <v>Falla</v>
      </c>
      <c r="BT5" s="146" t="str">
        <f ca="1">RESULTADOS!AX22</f>
        <v>Pasa</v>
      </c>
      <c r="BU5" s="146" t="str">
        <f ca="1">RESULTADOS!AY22</f>
        <v>Falla</v>
      </c>
      <c r="BV5" s="146" t="str">
        <f ca="1">RESULTADOS!AZ22</f>
        <v>Pasa</v>
      </c>
      <c r="BW5" s="146" t="str">
        <f ca="1">RESULTADOS!BA22</f>
        <v>Pasa</v>
      </c>
      <c r="BX5" s="146" t="str">
        <f ca="1">RESULTADOS!BB22</f>
        <v>Pasa</v>
      </c>
      <c r="BY5" s="146" t="str">
        <f ca="1">RESULTADOS!BC22</f>
        <v>Pasa</v>
      </c>
      <c r="BZ5" s="146" t="str">
        <f ca="1">RESULTADOS!BD22</f>
        <v>Pasa</v>
      </c>
      <c r="CA5" s="146" t="str">
        <f ca="1">RESULTADOS!BE22</f>
        <v>Pasa</v>
      </c>
      <c r="CB5" s="146" t="str">
        <f ca="1">RESULTADOS!BF22</f>
        <v>N/A</v>
      </c>
      <c r="CC5" s="146" t="str">
        <f ca="1">RESULTADOS!BG22</f>
        <v>N/A</v>
      </c>
      <c r="CD5" s="146" t="str">
        <f ca="1">RESULTADOS!BH22</f>
        <v>N/A</v>
      </c>
      <c r="CE5" s="146" t="str">
        <f ca="1">RESULTADOS!BI22</f>
        <v>N/A</v>
      </c>
      <c r="CF5" s="146" t="str">
        <f ca="1">RESULTADOS!BJ22</f>
        <v>Pasa</v>
      </c>
      <c r="CG5" s="146" t="str">
        <f ca="1">RESULTADOS!BK22</f>
        <v>Pasa</v>
      </c>
      <c r="CH5" s="146" t="str">
        <f ca="1">RESULTADOS!BL22</f>
        <v>Falla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Falla</v>
      </c>
      <c r="CQ5" s="146" t="str">
        <f ca="1">RESULTADOS!BU22</f>
        <v>Falla</v>
      </c>
      <c r="CR5" s="146" t="str">
        <f ca="1">RESULTADOS!BV22</f>
        <v>Pasa</v>
      </c>
      <c r="CS5" s="146" t="str">
        <f ca="1">RESULTADOS!BW22</f>
        <v>Pasa</v>
      </c>
      <c r="CT5" s="146" t="str">
        <f ca="1">RESULTADOS!BX22</f>
        <v>Pasa</v>
      </c>
      <c r="CU5" s="146" t="str">
        <f ca="1">RESULTADOS!BY22</f>
        <v>Pasa</v>
      </c>
      <c r="CV5" s="146" t="str">
        <f ca="1">RESULTADOS!BZ22</f>
        <v>N/A</v>
      </c>
      <c r="CW5" s="146" t="str">
        <f ca="1">RESULTADOS!CA22</f>
        <v>Falla</v>
      </c>
      <c r="CX5" s="146" t="str">
        <f ca="1">RESULTADOS!CB22</f>
        <v>N/A</v>
      </c>
      <c r="CY5" s="146" t="str">
        <f ca="1">RESULTADOS!CC22</f>
        <v>N/A</v>
      </c>
      <c r="CZ5" s="146" t="str">
        <f ca="1">RESULTADOS!CD22</f>
        <v>Pasa</v>
      </c>
      <c r="DA5" s="146" t="str">
        <f ca="1">RESULTADOS!CE22</f>
        <v>Pasa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Falla</v>
      </c>
      <c r="DL5" s="146" t="str">
        <f ca="1">RESULTADOS!CP22</f>
        <v>Falla</v>
      </c>
      <c r="DM5" s="146" t="str">
        <f ca="1">RESULTADOS!CQ22</f>
        <v>Pasa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ht="13">
      <c r="C6" s="144" t="s">
        <v>281</v>
      </c>
      <c r="D6" s="147">
        <f>'01.Definición de ámbito'!C17</f>
        <v>0</v>
      </c>
      <c r="E6" s="144" t="s">
        <v>307</v>
      </c>
      <c r="F6" s="147" t="str">
        <f>'02.Tecnologías'!C13</f>
        <v>Sí</v>
      </c>
      <c r="G6" s="147">
        <f>'02.Tecnologías'!K16</f>
        <v>0</v>
      </c>
      <c r="H6" s="147">
        <f>'02.Tecnologías'!L16</f>
        <v>0</v>
      </c>
      <c r="I6" s="206"/>
      <c r="J6" s="206"/>
      <c r="K6" s="144"/>
      <c r="L6" s="144"/>
      <c r="M6" s="144"/>
      <c r="T6" s="148">
        <f>RESULTADOS!B23</f>
        <v>4</v>
      </c>
      <c r="U6" s="148" t="str">
        <f>RESULTADOS!C23</f>
        <v>Menu 3</v>
      </c>
      <c r="V6" s="148" t="str">
        <f t="shared" si="0"/>
        <v>Página web</v>
      </c>
      <c r="W6" s="148" t="str">
        <v>Pagina tipo</v>
      </c>
      <c r="X6" s="148" t="str">
        <f>RESULTADOS!D23</f>
        <v>http://www.madrid.org/presupuestos/index.php/transparencia</v>
      </c>
      <c r="Y6" s="148" t="str">
        <v>Home/Transparencia</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Falla</v>
      </c>
      <c r="BL6" s="146" t="str">
        <f ca="1">RESULTADOS!AP23</f>
        <v>N/A</v>
      </c>
      <c r="BM6" s="146" t="str">
        <f ca="1">RESULTADOS!AQ23</f>
        <v>Pasa</v>
      </c>
      <c r="BN6" s="146" t="str">
        <f ca="1">RESULTADOS!AR23</f>
        <v>N/A</v>
      </c>
      <c r="BO6" s="146" t="str">
        <f ca="1">RESULTADOS!AS23</f>
        <v>N/A</v>
      </c>
      <c r="BP6" s="146" t="str">
        <f ca="1">RESULTADOS!AT23</f>
        <v>Pasa</v>
      </c>
      <c r="BQ6" s="146" t="str">
        <f ca="1">RESULTADOS!AU23</f>
        <v>N/A</v>
      </c>
      <c r="BR6" s="146" t="str">
        <f ca="1">RESULTADOS!AV23</f>
        <v>Falla</v>
      </c>
      <c r="BS6" s="146" t="str">
        <f ca="1">RESULTADOS!AW23</f>
        <v>Falla</v>
      </c>
      <c r="BT6" s="146" t="str">
        <f ca="1">RESULTADOS!AX23</f>
        <v>Pasa</v>
      </c>
      <c r="BU6" s="146" t="str">
        <f ca="1">RESULTADOS!AY23</f>
        <v>Falla</v>
      </c>
      <c r="BV6" s="146" t="str">
        <f ca="1">RESULTADOS!AZ23</f>
        <v>Pasa</v>
      </c>
      <c r="BW6" s="146" t="str">
        <f ca="1">RESULTADOS!BA23</f>
        <v>Pasa</v>
      </c>
      <c r="BX6" s="146" t="str">
        <f ca="1">RESULTADOS!BB23</f>
        <v>Pasa</v>
      </c>
      <c r="BY6" s="146" t="str">
        <f ca="1">RESULTADOS!BC23</f>
        <v>Pasa</v>
      </c>
      <c r="BZ6" s="146" t="str">
        <f ca="1">RESULTADOS!BD23</f>
        <v>Pasa</v>
      </c>
      <c r="CA6" s="146" t="str">
        <f ca="1">RESULTADOS!BE23</f>
        <v>Pasa</v>
      </c>
      <c r="CB6" s="146" t="str">
        <f ca="1">RESULTADOS!BF23</f>
        <v>N/A</v>
      </c>
      <c r="CC6" s="146" t="str">
        <f ca="1">RESULTADOS!BG23</f>
        <v>N/A</v>
      </c>
      <c r="CD6" s="146" t="str">
        <f ca="1">RESULTADOS!BH23</f>
        <v>N/A</v>
      </c>
      <c r="CE6" s="146" t="str">
        <f ca="1">RESULTADOS!BI23</f>
        <v>N/A</v>
      </c>
      <c r="CF6" s="146" t="str">
        <f ca="1">RESULTADOS!BJ23</f>
        <v>Pasa</v>
      </c>
      <c r="CG6" s="146" t="str">
        <f ca="1">RESULTADOS!BK23</f>
        <v>Pasa</v>
      </c>
      <c r="CH6" s="146" t="str">
        <f ca="1">RESULTADOS!BL23</f>
        <v>Falla</v>
      </c>
      <c r="CI6" s="146" t="str">
        <f ca="1">RESULTADOS!BM23</f>
        <v>Pasa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Falla</v>
      </c>
      <c r="CQ6" s="146" t="str">
        <f ca="1">RESULTADOS!BU23</f>
        <v>Falla</v>
      </c>
      <c r="CR6" s="146" t="str">
        <f ca="1">RESULTADOS!BV23</f>
        <v>Pasa</v>
      </c>
      <c r="CS6" s="146" t="str">
        <f ca="1">RESULTADOS!BW23</f>
        <v>Pasa</v>
      </c>
      <c r="CT6" s="146" t="str">
        <f ca="1">RESULTADOS!BX23</f>
        <v>Pasa</v>
      </c>
      <c r="CU6" s="146" t="str">
        <f ca="1">RESULTADOS!BY23</f>
        <v>Pasa</v>
      </c>
      <c r="CV6" s="146" t="str">
        <f ca="1">RESULTADOS!BZ23</f>
        <v>N/A</v>
      </c>
      <c r="CW6" s="146" t="str">
        <f ca="1">RESULTADOS!CA23</f>
        <v>Falla</v>
      </c>
      <c r="CX6" s="146" t="str">
        <f ca="1">RESULTADOS!CB23</f>
        <v>N/A</v>
      </c>
      <c r="CY6" s="146" t="str">
        <f ca="1">RESULTADOS!CC23</f>
        <v>N/A</v>
      </c>
      <c r="CZ6" s="146" t="str">
        <f ca="1">RESULTADOS!CD23</f>
        <v>Pasa</v>
      </c>
      <c r="DA6" s="146" t="str">
        <f ca="1">RESULTADOS!CE23</f>
        <v>Pasa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Falla</v>
      </c>
      <c r="DL6" s="146" t="str">
        <f ca="1">RESULTADOS!CP23</f>
        <v>Falla</v>
      </c>
      <c r="DM6" s="146" t="str">
        <f ca="1">RESULTADOS!CQ23</f>
        <v>Pasa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ht="13">
      <c r="C7" s="144" t="s">
        <v>137</v>
      </c>
      <c r="D7" s="147">
        <f>'01.Definición de ámbito'!C19</f>
        <v>0</v>
      </c>
      <c r="E7" s="144" t="s">
        <v>294</v>
      </c>
      <c r="F7" s="147" t="str">
        <f>'02.Tecnologías'!F9</f>
        <v>No</v>
      </c>
      <c r="G7" s="147">
        <f>'02.Tecnologías'!K17</f>
        <v>0</v>
      </c>
      <c r="H7" s="147">
        <f>'02.Tecnologías'!L17</f>
        <v>0</v>
      </c>
      <c r="I7" s="206"/>
      <c r="J7" s="206"/>
      <c r="K7" s="144"/>
      <c r="L7" s="144"/>
      <c r="M7" s="144"/>
      <c r="T7" s="148">
        <f>RESULTADOS!B24</f>
        <v>5</v>
      </c>
      <c r="U7" s="148" t="str">
        <f>RESULTADOS!C24</f>
        <v>Accesibilidad</v>
      </c>
      <c r="V7" s="148" t="str">
        <f t="shared" si="0"/>
        <v>Página web</v>
      </c>
      <c r="W7" s="148" t="str">
        <v>Declaración accesibilidad</v>
      </c>
      <c r="X7" s="148" t="str">
        <f>RESULTADOS!D24</f>
        <v>http://www.madrid.org/presupuestos/index.php/accesibilidad-web</v>
      </c>
      <c r="Y7" s="148" t="str">
        <v>Home/Declaración de accesibilidad</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Falla</v>
      </c>
      <c r="BG7" s="146" t="str">
        <f ca="1">RESULTADOS!AK24</f>
        <v>N/A</v>
      </c>
      <c r="BH7" s="146" t="str">
        <f ca="1">RESULTADOS!AL24</f>
        <v>N/A</v>
      </c>
      <c r="BI7" s="146" t="str">
        <f ca="1">RESULTADOS!AM24</f>
        <v>N/A</v>
      </c>
      <c r="BJ7" s="146" t="str">
        <f ca="1">RESULTADOS!AN24</f>
        <v>N/A</v>
      </c>
      <c r="BK7" s="146" t="str">
        <f ca="1">RESULTADOS!AO24</f>
        <v>Falla</v>
      </c>
      <c r="BL7" s="146" t="str">
        <f ca="1">RESULTADOS!AP24</f>
        <v>N/A</v>
      </c>
      <c r="BM7" s="146" t="str">
        <f ca="1">RESULTADOS!AQ24</f>
        <v>Pasa</v>
      </c>
      <c r="BN7" s="146" t="str">
        <f ca="1">RESULTADOS!AR24</f>
        <v>N/A</v>
      </c>
      <c r="BO7" s="146" t="str">
        <f ca="1">RESULTADOS!AS24</f>
        <v>N/A</v>
      </c>
      <c r="BP7" s="146" t="str">
        <f ca="1">RESULTADOS!AT24</f>
        <v>Pasa</v>
      </c>
      <c r="BQ7" s="146" t="str">
        <f ca="1">RESULTADOS!AU24</f>
        <v>N/A</v>
      </c>
      <c r="BR7" s="146" t="str">
        <f ca="1">RESULTADOS!AV24</f>
        <v>Falla</v>
      </c>
      <c r="BS7" s="146" t="str">
        <f ca="1">RESULTADOS!AW24</f>
        <v>Falla</v>
      </c>
      <c r="BT7" s="146" t="str">
        <f ca="1">RESULTADOS!AX24</f>
        <v>Pasa</v>
      </c>
      <c r="BU7" s="146" t="str">
        <f ca="1">RESULTADOS!AY24</f>
        <v>Falla</v>
      </c>
      <c r="BV7" s="146" t="str">
        <f ca="1">RESULTADOS!AZ24</f>
        <v>Pasa</v>
      </c>
      <c r="BW7" s="146" t="str">
        <f ca="1">RESULTADOS!BA24</f>
        <v>Pasa</v>
      </c>
      <c r="BX7" s="146" t="str">
        <f ca="1">RESULTADOS!BB24</f>
        <v>Pasa</v>
      </c>
      <c r="BY7" s="146" t="str">
        <f ca="1">RESULTADOS!BC24</f>
        <v>Pasa</v>
      </c>
      <c r="BZ7" s="146" t="str">
        <f ca="1">RESULTADOS!BD24</f>
        <v>Pasa</v>
      </c>
      <c r="CA7" s="146" t="str">
        <f ca="1">RESULTADOS!BE24</f>
        <v>Pasa</v>
      </c>
      <c r="CB7" s="146" t="str">
        <f ca="1">RESULTADOS!BF24</f>
        <v>N/A</v>
      </c>
      <c r="CC7" s="146" t="str">
        <f ca="1">RESULTADOS!BG24</f>
        <v>N/A</v>
      </c>
      <c r="CD7" s="146" t="str">
        <f ca="1">RESULTADOS!BH24</f>
        <v>N/A</v>
      </c>
      <c r="CE7" s="146" t="str">
        <f ca="1">RESULTADOS!BI24</f>
        <v>N/A</v>
      </c>
      <c r="CF7" s="146" t="str">
        <f ca="1">RESULTADOS!BJ24</f>
        <v>Pasa</v>
      </c>
      <c r="CG7" s="146" t="str">
        <f ca="1">RESULTADOS!BK24</f>
        <v>Pasa</v>
      </c>
      <c r="CH7" s="146" t="str">
        <f ca="1">RESULTADOS!BL24</f>
        <v>Falla</v>
      </c>
      <c r="CI7" s="146" t="str">
        <f ca="1">RESULTADOS!BM24</f>
        <v>Pasa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Falla</v>
      </c>
      <c r="CQ7" s="146" t="str">
        <f ca="1">RESULTADOS!BU24</f>
        <v>Falla</v>
      </c>
      <c r="CR7" s="146" t="str">
        <f ca="1">RESULTADOS!BV24</f>
        <v>Pasa</v>
      </c>
      <c r="CS7" s="146" t="str">
        <f ca="1">RESULTADOS!BW24</f>
        <v>Pasa</v>
      </c>
      <c r="CT7" s="146" t="str">
        <f ca="1">RESULTADOS!BX24</f>
        <v>Pasa</v>
      </c>
      <c r="CU7" s="146" t="str">
        <f ca="1">RESULTADOS!BY24</f>
        <v>Pasa</v>
      </c>
      <c r="CV7" s="146" t="str">
        <f ca="1">RESULTADOS!BZ24</f>
        <v>N/A</v>
      </c>
      <c r="CW7" s="146" t="str">
        <f ca="1">RESULTADOS!CA24</f>
        <v>Falla</v>
      </c>
      <c r="CX7" s="146" t="str">
        <f ca="1">RESULTADOS!CB24</f>
        <v>N/A</v>
      </c>
      <c r="CY7" s="146" t="str">
        <f ca="1">RESULTADOS!CC24</f>
        <v>N/A</v>
      </c>
      <c r="CZ7" s="146" t="str">
        <f ca="1">RESULTADOS!CD24</f>
        <v>Pasa</v>
      </c>
      <c r="DA7" s="146" t="str">
        <f ca="1">RESULTADOS!CE24</f>
        <v>Pasa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Falla</v>
      </c>
      <c r="DL7" s="146" t="str">
        <f ca="1">RESULTADOS!CP24</f>
        <v>Falla</v>
      </c>
      <c r="DM7" s="146" t="str">
        <f ca="1">RESULTADOS!CQ24</f>
        <v>Pasa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ht="13">
      <c r="C8" s="144" t="s">
        <v>282</v>
      </c>
      <c r="D8" s="147">
        <f>'01.Definición de ámbito'!C21</f>
        <v>0</v>
      </c>
      <c r="E8" s="144" t="s">
        <v>297</v>
      </c>
      <c r="F8" s="147" t="str">
        <f>'02.Tecnologías'!F10</f>
        <v>No</v>
      </c>
      <c r="G8" s="147">
        <f>'02.Tecnologías'!K18</f>
        <v>0</v>
      </c>
      <c r="H8" s="147">
        <f>'02.Tecnologías'!L18</f>
        <v>0</v>
      </c>
      <c r="I8" s="206"/>
      <c r="J8" s="206"/>
      <c r="K8" s="144"/>
      <c r="L8" s="144"/>
      <c r="M8" s="144"/>
      <c r="T8" s="148" t="str">
        <f>RESULTADOS!B25</f>
        <v/>
      </c>
      <c r="U8" s="148" t="str">
        <f>RESULTADOS!C25</f>
        <v/>
      </c>
      <c r="V8" s="148" t="str">
        <f t="shared" si="0"/>
        <v/>
      </c>
      <c r="W8" s="148" t="str">
        <v/>
      </c>
      <c r="X8" s="148" t="str">
        <f>RESULTADOS!D25</f>
        <v/>
      </c>
      <c r="Y8" s="148" t="str">
        <v/>
      </c>
      <c r="Z8" s="237" t="str">
        <v/>
      </c>
      <c r="AA8" s="146" t="str">
        <f ca="1">RESULTADOS!E25</f>
        <v/>
      </c>
      <c r="AB8" s="146" t="str">
        <f ca="1">RESULTADOS!F25</f>
        <v/>
      </c>
      <c r="AC8" s="146" t="str">
        <f ca="1">RESULTADOS!G25</f>
        <v/>
      </c>
      <c r="AD8" s="146" t="str">
        <f ca="1">RESULTADOS!H25</f>
        <v/>
      </c>
      <c r="AE8" s="146" t="str">
        <f ca="1">RESULTADOS!I25</f>
        <v/>
      </c>
      <c r="AF8" s="146" t="str">
        <f ca="1">RESULTADOS!J25</f>
        <v/>
      </c>
      <c r="AG8" s="146" t="str">
        <f ca="1">RESULTADOS!K25</f>
        <v/>
      </c>
      <c r="AH8" s="146" t="str">
        <f ca="1">RESULTADOS!L25</f>
        <v/>
      </c>
      <c r="AI8" s="146" t="str">
        <f ca="1">RESULTADOS!M25</f>
        <v/>
      </c>
      <c r="AJ8" s="146" t="str">
        <f ca="1">RESULTADOS!N25</f>
        <v/>
      </c>
      <c r="AK8" s="146" t="str">
        <f ca="1">RESULTADOS!O25</f>
        <v/>
      </c>
      <c r="AL8" s="146" t="str">
        <f ca="1">RESULTADOS!P25</f>
        <v/>
      </c>
      <c r="AM8" s="146" t="str">
        <f ca="1">RESULTADOS!Q25</f>
        <v/>
      </c>
      <c r="AN8" s="146" t="str">
        <f ca="1">RESULTADOS!R25</f>
        <v/>
      </c>
      <c r="AO8" s="146" t="str">
        <f ca="1">RESULTADOS!S25</f>
        <v/>
      </c>
      <c r="AP8" s="146" t="str">
        <f ca="1">RESULTADOS!T25</f>
        <v/>
      </c>
      <c r="AQ8" s="146" t="str">
        <f ca="1">RESULTADOS!U25</f>
        <v/>
      </c>
      <c r="AR8" s="146" t="str">
        <f ca="1">RESULTADOS!V25</f>
        <v/>
      </c>
      <c r="AS8" s="146" t="str">
        <f ca="1">RESULTADOS!W25</f>
        <v/>
      </c>
      <c r="AT8" s="146" t="str">
        <f ca="1">RESULTADOS!X25</f>
        <v/>
      </c>
      <c r="AU8" s="146" t="str">
        <f ca="1">RESULTADOS!Y25</f>
        <v/>
      </c>
      <c r="AV8" s="146" t="str">
        <f ca="1">RESULTADOS!Z25</f>
        <v/>
      </c>
      <c r="AW8" s="146" t="str">
        <f ca="1">RESULTADOS!AA25</f>
        <v/>
      </c>
      <c r="AX8" s="146" t="str">
        <f ca="1">RESULTADOS!AB25</f>
        <v/>
      </c>
      <c r="AY8" s="146" t="str">
        <f ca="1">RESULTADOS!AC25</f>
        <v/>
      </c>
      <c r="AZ8" s="146" t="str">
        <f ca="1">RESULTADOS!AD25</f>
        <v/>
      </c>
      <c r="BA8" s="146" t="str">
        <f ca="1">RESULTADOS!AE25</f>
        <v/>
      </c>
      <c r="BB8" s="146" t="str">
        <f ca="1">RESULTADOS!AF25</f>
        <v/>
      </c>
      <c r="BC8" s="146" t="str">
        <f ca="1">RESULTADOS!AG25</f>
        <v/>
      </c>
      <c r="BD8" s="146" t="str">
        <f ca="1">RESULTADOS!AH25</f>
        <v/>
      </c>
      <c r="BE8" s="146" t="str">
        <f ca="1">RESULTADOS!AI25</f>
        <v/>
      </c>
      <c r="BF8" s="146" t="str">
        <f ca="1">RESULTADOS!AJ25</f>
        <v/>
      </c>
      <c r="BG8" s="146" t="str">
        <f ca="1">RESULTADOS!AK25</f>
        <v/>
      </c>
      <c r="BH8" s="146" t="str">
        <f ca="1">RESULTADOS!AL25</f>
        <v/>
      </c>
      <c r="BI8" s="146" t="str">
        <f ca="1">RESULTADOS!AM25</f>
        <v/>
      </c>
      <c r="BJ8" s="146" t="str">
        <f ca="1">RESULTADOS!AN25</f>
        <v/>
      </c>
      <c r="BK8" s="146" t="str">
        <f ca="1">RESULTADOS!AO25</f>
        <v/>
      </c>
      <c r="BL8" s="146" t="str">
        <f ca="1">RESULTADOS!AP25</f>
        <v/>
      </c>
      <c r="BM8" s="146" t="str">
        <f ca="1">RESULTADOS!AQ25</f>
        <v/>
      </c>
      <c r="BN8" s="146" t="str">
        <f ca="1">RESULTADOS!AR25</f>
        <v/>
      </c>
      <c r="BO8" s="146" t="str">
        <f ca="1">RESULTADOS!AS25</f>
        <v/>
      </c>
      <c r="BP8" s="146" t="str">
        <f ca="1">RESULTADOS!AT25</f>
        <v/>
      </c>
      <c r="BQ8" s="146" t="str">
        <f ca="1">RESULTADOS!AU25</f>
        <v/>
      </c>
      <c r="BR8" s="146" t="str">
        <f ca="1">RESULTADOS!AV25</f>
        <v/>
      </c>
      <c r="BS8" s="146" t="str">
        <f ca="1">RESULTADOS!AW25</f>
        <v/>
      </c>
      <c r="BT8" s="146" t="str">
        <f ca="1">RESULTADOS!AX25</f>
        <v/>
      </c>
      <c r="BU8" s="146" t="str">
        <f ca="1">RESULTADOS!AY25</f>
        <v/>
      </c>
      <c r="BV8" s="146" t="str">
        <f ca="1">RESULTADOS!AZ25</f>
        <v/>
      </c>
      <c r="BW8" s="146" t="str">
        <f ca="1">RESULTADOS!BA25</f>
        <v/>
      </c>
      <c r="BX8" s="146" t="str">
        <f ca="1">RESULTADOS!BB25</f>
        <v/>
      </c>
      <c r="BY8" s="146" t="str">
        <f ca="1">RESULTADOS!BC25</f>
        <v/>
      </c>
      <c r="BZ8" s="146" t="str">
        <f ca="1">RESULTADOS!BD25</f>
        <v/>
      </c>
      <c r="CA8" s="146" t="str">
        <f ca="1">RESULTADOS!BE25</f>
        <v/>
      </c>
      <c r="CB8" s="146" t="str">
        <f ca="1">RESULTADOS!BF25</f>
        <v/>
      </c>
      <c r="CC8" s="146" t="str">
        <f ca="1">RESULTADOS!BG25</f>
        <v/>
      </c>
      <c r="CD8" s="146" t="str">
        <f ca="1">RESULTADOS!BH25</f>
        <v/>
      </c>
      <c r="CE8" s="146" t="str">
        <f ca="1">RESULTADOS!BI25</f>
        <v/>
      </c>
      <c r="CF8" s="146" t="str">
        <f ca="1">RESULTADOS!BJ25</f>
        <v/>
      </c>
      <c r="CG8" s="146" t="str">
        <f ca="1">RESULTADOS!BK25</f>
        <v/>
      </c>
      <c r="CH8" s="146" t="str">
        <f ca="1">RESULTADOS!BL25</f>
        <v/>
      </c>
      <c r="CI8" s="146" t="str">
        <f ca="1">RESULTADOS!BM25</f>
        <v/>
      </c>
      <c r="CJ8" s="146" t="str">
        <f ca="1">RESULTADOS!BN25</f>
        <v/>
      </c>
      <c r="CK8" s="146" t="str">
        <f ca="1">RESULTADOS!BO25</f>
        <v/>
      </c>
      <c r="CL8" s="146" t="str">
        <f ca="1">RESULTADOS!BP25</f>
        <v/>
      </c>
      <c r="CM8" s="146" t="str">
        <f ca="1">RESULTADOS!BQ25</f>
        <v/>
      </c>
      <c r="CN8" s="146" t="str">
        <f ca="1">RESULTADOS!BR25</f>
        <v/>
      </c>
      <c r="CO8" s="146" t="str">
        <f ca="1">RESULTADOS!BS25</f>
        <v/>
      </c>
      <c r="CP8" s="146" t="str">
        <f ca="1">RESULTADOS!BT25</f>
        <v/>
      </c>
      <c r="CQ8" s="146" t="str">
        <f ca="1">RESULTADOS!BU25</f>
        <v/>
      </c>
      <c r="CR8" s="146" t="str">
        <f ca="1">RESULTADOS!BV25</f>
        <v/>
      </c>
      <c r="CS8" s="146" t="str">
        <f ca="1">RESULTADOS!BW25</f>
        <v/>
      </c>
      <c r="CT8" s="146" t="str">
        <f ca="1">RESULTADOS!BX25</f>
        <v/>
      </c>
      <c r="CU8" s="146" t="str">
        <f ca="1">RESULTADOS!BY25</f>
        <v/>
      </c>
      <c r="CV8" s="146" t="str">
        <f ca="1">RESULTADOS!BZ25</f>
        <v/>
      </c>
      <c r="CW8" s="146" t="str">
        <f ca="1">RESULTADOS!CA25</f>
        <v/>
      </c>
      <c r="CX8" s="146" t="str">
        <f ca="1">RESULTADOS!CB25</f>
        <v/>
      </c>
      <c r="CY8" s="146" t="str">
        <f ca="1">RESULTADOS!CC25</f>
        <v/>
      </c>
      <c r="CZ8" s="146" t="str">
        <f ca="1">RESULTADOS!CD25</f>
        <v/>
      </c>
      <c r="DA8" s="146" t="str">
        <f ca="1">RESULTADOS!CE25</f>
        <v/>
      </c>
      <c r="DB8" s="146" t="str">
        <f ca="1">RESULTADOS!CF25</f>
        <v/>
      </c>
      <c r="DC8" s="146" t="str">
        <f ca="1">RESULTADOS!CG25</f>
        <v/>
      </c>
      <c r="DD8" s="146" t="str">
        <f ca="1">RESULTADOS!CH25</f>
        <v/>
      </c>
      <c r="DE8" s="146" t="str">
        <f ca="1">RESULTADOS!CI25</f>
        <v/>
      </c>
      <c r="DF8" s="146" t="str">
        <f ca="1">RESULTADOS!CJ25</f>
        <v/>
      </c>
      <c r="DG8" s="146" t="str">
        <f ca="1">RESULTADOS!CK25</f>
        <v/>
      </c>
      <c r="DH8" s="146" t="str">
        <f ca="1">RESULTADOS!CL25</f>
        <v/>
      </c>
      <c r="DI8" s="146" t="str">
        <f ca="1">RESULTADOS!CM25</f>
        <v/>
      </c>
      <c r="DJ8" s="146" t="str">
        <f ca="1">RESULTADOS!CN25</f>
        <v/>
      </c>
      <c r="DK8" s="146" t="str">
        <f ca="1">RESULTADOS!CO25</f>
        <v/>
      </c>
      <c r="DL8" s="146" t="str">
        <f ca="1">RESULTADOS!CP25</f>
        <v/>
      </c>
      <c r="DM8" s="146" t="str">
        <f ca="1">RESULTADOS!CQ25</f>
        <v/>
      </c>
      <c r="DN8" s="146" t="str">
        <f ca="1">RESULTADOS!CR25</f>
        <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ht="13">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t="str">
        <f>RESULTADOS!B26</f>
        <v/>
      </c>
      <c r="U9" s="148" t="str">
        <f>RESULTADOS!C26</f>
        <v/>
      </c>
      <c r="V9" s="148" t="str">
        <f t="shared" si="0"/>
        <v/>
      </c>
      <c r="W9" s="148" t="str">
        <v/>
      </c>
      <c r="X9" s="148" t="str">
        <f>RESULTADOS!D26</f>
        <v/>
      </c>
      <c r="Y9" s="148" t="str">
        <v/>
      </c>
      <c r="Z9" s="237" t="str">
        <v/>
      </c>
      <c r="AA9" s="146" t="str">
        <f ca="1">RESULTADOS!E26</f>
        <v/>
      </c>
      <c r="AB9" s="146" t="str">
        <f ca="1">RESULTADOS!F26</f>
        <v/>
      </c>
      <c r="AC9" s="146" t="str">
        <f ca="1">RESULTADOS!G26</f>
        <v/>
      </c>
      <c r="AD9" s="146" t="str">
        <f ca="1">RESULTADOS!H26</f>
        <v/>
      </c>
      <c r="AE9" s="146" t="str">
        <f ca="1">RESULTADOS!I26</f>
        <v/>
      </c>
      <c r="AF9" s="146" t="str">
        <f ca="1">RESULTADOS!J26</f>
        <v/>
      </c>
      <c r="AG9" s="146" t="str">
        <f ca="1">RESULTADOS!K26</f>
        <v/>
      </c>
      <c r="AH9" s="146" t="str">
        <f ca="1">RESULTADOS!L26</f>
        <v/>
      </c>
      <c r="AI9" s="146" t="str">
        <f ca="1">RESULTADOS!M26</f>
        <v/>
      </c>
      <c r="AJ9" s="146" t="str">
        <f ca="1">RESULTADOS!N26</f>
        <v/>
      </c>
      <c r="AK9" s="146" t="str">
        <f ca="1">RESULTADOS!O26</f>
        <v/>
      </c>
      <c r="AL9" s="146" t="str">
        <f ca="1">RESULTADOS!P26</f>
        <v/>
      </c>
      <c r="AM9" s="146" t="str">
        <f ca="1">RESULTADOS!Q26</f>
        <v/>
      </c>
      <c r="AN9" s="146" t="str">
        <f ca="1">RESULTADOS!R26</f>
        <v/>
      </c>
      <c r="AO9" s="146" t="str">
        <f ca="1">RESULTADOS!S26</f>
        <v/>
      </c>
      <c r="AP9" s="146" t="str">
        <f ca="1">RESULTADOS!T26</f>
        <v/>
      </c>
      <c r="AQ9" s="146" t="str">
        <f ca="1">RESULTADOS!U26</f>
        <v/>
      </c>
      <c r="AR9" s="146" t="str">
        <f ca="1">RESULTADOS!V26</f>
        <v/>
      </c>
      <c r="AS9" s="146" t="str">
        <f ca="1">RESULTADOS!W26</f>
        <v/>
      </c>
      <c r="AT9" s="146" t="str">
        <f ca="1">RESULTADOS!X26</f>
        <v/>
      </c>
      <c r="AU9" s="146" t="str">
        <f ca="1">RESULTADOS!Y26</f>
        <v/>
      </c>
      <c r="AV9" s="146" t="str">
        <f ca="1">RESULTADOS!Z26</f>
        <v/>
      </c>
      <c r="AW9" s="146" t="str">
        <f ca="1">RESULTADOS!AA26</f>
        <v/>
      </c>
      <c r="AX9" s="146" t="str">
        <f ca="1">RESULTADOS!AB26</f>
        <v/>
      </c>
      <c r="AY9" s="146" t="str">
        <f ca="1">RESULTADOS!AC26</f>
        <v/>
      </c>
      <c r="AZ9" s="146" t="str">
        <f ca="1">RESULTADOS!AD26</f>
        <v/>
      </c>
      <c r="BA9" s="146" t="str">
        <f ca="1">RESULTADOS!AE26</f>
        <v/>
      </c>
      <c r="BB9" s="146" t="str">
        <f ca="1">RESULTADOS!AF26</f>
        <v/>
      </c>
      <c r="BC9" s="146" t="str">
        <f ca="1">RESULTADOS!AG26</f>
        <v/>
      </c>
      <c r="BD9" s="146" t="str">
        <f ca="1">RESULTADOS!AH26</f>
        <v/>
      </c>
      <c r="BE9" s="146" t="str">
        <f ca="1">RESULTADOS!AI26</f>
        <v/>
      </c>
      <c r="BF9" s="146" t="str">
        <f ca="1">RESULTADOS!AJ26</f>
        <v/>
      </c>
      <c r="BG9" s="146" t="str">
        <f ca="1">RESULTADOS!AK26</f>
        <v/>
      </c>
      <c r="BH9" s="146" t="str">
        <f ca="1">RESULTADOS!AL26</f>
        <v/>
      </c>
      <c r="BI9" s="146" t="str">
        <f ca="1">RESULTADOS!AM26</f>
        <v/>
      </c>
      <c r="BJ9" s="146" t="str">
        <f ca="1">RESULTADOS!AN26</f>
        <v/>
      </c>
      <c r="BK9" s="146" t="str">
        <f ca="1">RESULTADOS!AO26</f>
        <v/>
      </c>
      <c r="BL9" s="146" t="str">
        <f ca="1">RESULTADOS!AP26</f>
        <v/>
      </c>
      <c r="BM9" s="146" t="str">
        <f ca="1">RESULTADOS!AQ26</f>
        <v/>
      </c>
      <c r="BN9" s="146" t="str">
        <f ca="1">RESULTADOS!AR26</f>
        <v/>
      </c>
      <c r="BO9" s="146" t="str">
        <f ca="1">RESULTADOS!AS26</f>
        <v/>
      </c>
      <c r="BP9" s="146" t="str">
        <f ca="1">RESULTADOS!AT26</f>
        <v/>
      </c>
      <c r="BQ9" s="146" t="str">
        <f ca="1">RESULTADOS!AU26</f>
        <v/>
      </c>
      <c r="BR9" s="146" t="str">
        <f ca="1">RESULTADOS!AV26</f>
        <v/>
      </c>
      <c r="BS9" s="146" t="str">
        <f ca="1">RESULTADOS!AW26</f>
        <v/>
      </c>
      <c r="BT9" s="146" t="str">
        <f ca="1">RESULTADOS!AX26</f>
        <v/>
      </c>
      <c r="BU9" s="146" t="str">
        <f ca="1">RESULTADOS!AY26</f>
        <v/>
      </c>
      <c r="BV9" s="146" t="str">
        <f ca="1">RESULTADOS!AZ26</f>
        <v/>
      </c>
      <c r="BW9" s="146" t="str">
        <f ca="1">RESULTADOS!BA26</f>
        <v/>
      </c>
      <c r="BX9" s="146" t="str">
        <f ca="1">RESULTADOS!BB26</f>
        <v/>
      </c>
      <c r="BY9" s="146" t="str">
        <f ca="1">RESULTADOS!BC26</f>
        <v/>
      </c>
      <c r="BZ9" s="146" t="str">
        <f ca="1">RESULTADOS!BD26</f>
        <v/>
      </c>
      <c r="CA9" s="146" t="str">
        <f ca="1">RESULTADOS!BE26</f>
        <v/>
      </c>
      <c r="CB9" s="146" t="str">
        <f ca="1">RESULTADOS!BF26</f>
        <v/>
      </c>
      <c r="CC9" s="146" t="str">
        <f ca="1">RESULTADOS!BG26</f>
        <v/>
      </c>
      <c r="CD9" s="146" t="str">
        <f ca="1">RESULTADOS!BH26</f>
        <v/>
      </c>
      <c r="CE9" s="146" t="str">
        <f ca="1">RESULTADOS!BI26</f>
        <v/>
      </c>
      <c r="CF9" s="146" t="str">
        <f ca="1">RESULTADOS!BJ26</f>
        <v/>
      </c>
      <c r="CG9" s="146" t="str">
        <f ca="1">RESULTADOS!BK26</f>
        <v/>
      </c>
      <c r="CH9" s="146" t="str">
        <f ca="1">RESULTADOS!BL26</f>
        <v/>
      </c>
      <c r="CI9" s="146" t="str">
        <f ca="1">RESULTADOS!BM26</f>
        <v/>
      </c>
      <c r="CJ9" s="146" t="str">
        <f ca="1">RESULTADOS!BN26</f>
        <v/>
      </c>
      <c r="CK9" s="146" t="str">
        <f ca="1">RESULTADOS!BO26</f>
        <v/>
      </c>
      <c r="CL9" s="146" t="str">
        <f ca="1">RESULTADOS!BP26</f>
        <v/>
      </c>
      <c r="CM9" s="146" t="str">
        <f ca="1">RESULTADOS!BQ26</f>
        <v/>
      </c>
      <c r="CN9" s="146" t="str">
        <f ca="1">RESULTADOS!BR26</f>
        <v/>
      </c>
      <c r="CO9" s="146" t="str">
        <f ca="1">RESULTADOS!BS26</f>
        <v/>
      </c>
      <c r="CP9" s="146" t="str">
        <f ca="1">RESULTADOS!BT26</f>
        <v/>
      </c>
      <c r="CQ9" s="146" t="str">
        <f ca="1">RESULTADOS!BU26</f>
        <v/>
      </c>
      <c r="CR9" s="146" t="str">
        <f ca="1">RESULTADOS!BV26</f>
        <v/>
      </c>
      <c r="CS9" s="146" t="str">
        <f ca="1">RESULTADOS!BW26</f>
        <v/>
      </c>
      <c r="CT9" s="146" t="str">
        <f ca="1">RESULTADOS!BX26</f>
        <v/>
      </c>
      <c r="CU9" s="146" t="str">
        <f ca="1">RESULTADOS!BY26</f>
        <v/>
      </c>
      <c r="CV9" s="146" t="str">
        <f ca="1">RESULTADOS!BZ26</f>
        <v/>
      </c>
      <c r="CW9" s="146" t="str">
        <f ca="1">RESULTADOS!CA26</f>
        <v/>
      </c>
      <c r="CX9" s="146" t="str">
        <f ca="1">RESULTADOS!CB26</f>
        <v/>
      </c>
      <c r="CY9" s="146" t="str">
        <f ca="1">RESULTADOS!CC26</f>
        <v/>
      </c>
      <c r="CZ9" s="146" t="str">
        <f ca="1">RESULTADOS!CD26</f>
        <v/>
      </c>
      <c r="DA9" s="146" t="str">
        <f ca="1">RESULTADOS!CE26</f>
        <v/>
      </c>
      <c r="DB9" s="146" t="str">
        <f ca="1">RESULTADOS!CF26</f>
        <v/>
      </c>
      <c r="DC9" s="146" t="str">
        <f ca="1">RESULTADOS!CG26</f>
        <v/>
      </c>
      <c r="DD9" s="146" t="str">
        <f ca="1">RESULTADOS!CH26</f>
        <v/>
      </c>
      <c r="DE9" s="146" t="str">
        <f ca="1">RESULTADOS!CI26</f>
        <v/>
      </c>
      <c r="DF9" s="146" t="str">
        <f ca="1">RESULTADOS!CJ26</f>
        <v/>
      </c>
      <c r="DG9" s="146" t="str">
        <f ca="1">RESULTADOS!CK26</f>
        <v/>
      </c>
      <c r="DH9" s="146" t="str">
        <f ca="1">RESULTADOS!CL26</f>
        <v/>
      </c>
      <c r="DI9" s="146" t="str">
        <f ca="1">RESULTADOS!CM26</f>
        <v/>
      </c>
      <c r="DJ9" s="146" t="str">
        <f ca="1">RESULTADOS!CN26</f>
        <v/>
      </c>
      <c r="DK9" s="146" t="str">
        <f ca="1">RESULTADOS!CO26</f>
        <v/>
      </c>
      <c r="DL9" s="146" t="str">
        <f ca="1">RESULTADOS!CP26</f>
        <v/>
      </c>
      <c r="DM9" s="146" t="str">
        <f ca="1">RESULTADOS!CQ26</f>
        <v/>
      </c>
      <c r="DN9" s="146" t="str">
        <f ca="1">RESULTADOS!CR26</f>
        <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ht="13">
      <c r="C10" s="144" t="s">
        <v>284</v>
      </c>
      <c r="D10" s="147" t="str">
        <f>'01.Definición de ámbito'!C27</f>
        <v>PTPR_JOOMLA</v>
      </c>
      <c r="E10" s="144" t="s">
        <v>303</v>
      </c>
      <c r="F10" s="147" t="str">
        <f>'02.Tecnologías'!F12</f>
        <v>No</v>
      </c>
      <c r="G10" s="147">
        <f>'02.Tecnologías'!K20</f>
        <v>0</v>
      </c>
      <c r="H10" s="147">
        <f>'02.Tecnologías'!L20</f>
        <v>0</v>
      </c>
      <c r="I10" s="206"/>
      <c r="J10" s="206"/>
      <c r="K10" s="144" t="s">
        <v>349</v>
      </c>
      <c r="L10" s="144"/>
      <c r="M10" s="144"/>
      <c r="T10" s="148" t="str">
        <f>RESULTADOS!B27</f>
        <v/>
      </c>
      <c r="U10" s="148" t="str">
        <f>RESULTADOS!C27</f>
        <v/>
      </c>
      <c r="V10" s="148" t="str">
        <f t="shared" si="0"/>
        <v/>
      </c>
      <c r="W10" s="148" t="str">
        <v/>
      </c>
      <c r="X10" s="148" t="str">
        <f>RESULTADOS!D27</f>
        <v/>
      </c>
      <c r="Y10" s="148" t="str">
        <v/>
      </c>
      <c r="Z10" s="237" t="str">
        <v/>
      </c>
      <c r="AA10" s="146" t="str">
        <f ca="1">RESULTADOS!E27</f>
        <v/>
      </c>
      <c r="AB10" s="146" t="str">
        <f ca="1">RESULTADOS!F27</f>
        <v/>
      </c>
      <c r="AC10" s="146" t="str">
        <f ca="1">RESULTADOS!G27</f>
        <v/>
      </c>
      <c r="AD10" s="146" t="str">
        <f ca="1">RESULTADOS!H27</f>
        <v/>
      </c>
      <c r="AE10" s="146" t="str">
        <f ca="1">RESULTADOS!I27</f>
        <v/>
      </c>
      <c r="AF10" s="146" t="str">
        <f ca="1">RESULTADOS!J27</f>
        <v/>
      </c>
      <c r="AG10" s="146" t="str">
        <f ca="1">RESULTADOS!K27</f>
        <v/>
      </c>
      <c r="AH10" s="146" t="str">
        <f ca="1">RESULTADOS!L27</f>
        <v/>
      </c>
      <c r="AI10" s="146" t="str">
        <f ca="1">RESULTADOS!M27</f>
        <v/>
      </c>
      <c r="AJ10" s="146" t="str">
        <f ca="1">RESULTADOS!N27</f>
        <v/>
      </c>
      <c r="AK10" s="146" t="str">
        <f ca="1">RESULTADOS!O27</f>
        <v/>
      </c>
      <c r="AL10" s="146" t="str">
        <f ca="1">RESULTADOS!P27</f>
        <v/>
      </c>
      <c r="AM10" s="146" t="str">
        <f ca="1">RESULTADOS!Q27</f>
        <v/>
      </c>
      <c r="AN10" s="146" t="str">
        <f ca="1">RESULTADOS!R27</f>
        <v/>
      </c>
      <c r="AO10" s="146" t="str">
        <f ca="1">RESULTADOS!S27</f>
        <v/>
      </c>
      <c r="AP10" s="146" t="str">
        <f ca="1">RESULTADOS!T27</f>
        <v/>
      </c>
      <c r="AQ10" s="146" t="str">
        <f ca="1">RESULTADOS!U27</f>
        <v/>
      </c>
      <c r="AR10" s="146" t="str">
        <f ca="1">RESULTADOS!V27</f>
        <v/>
      </c>
      <c r="AS10" s="146" t="str">
        <f ca="1">RESULTADOS!W27</f>
        <v/>
      </c>
      <c r="AT10" s="146" t="str">
        <f ca="1">RESULTADOS!X27</f>
        <v/>
      </c>
      <c r="AU10" s="146" t="str">
        <f ca="1">RESULTADOS!Y27</f>
        <v/>
      </c>
      <c r="AV10" s="146" t="str">
        <f ca="1">RESULTADOS!Z27</f>
        <v/>
      </c>
      <c r="AW10" s="146" t="str">
        <f ca="1">RESULTADOS!AA27</f>
        <v/>
      </c>
      <c r="AX10" s="146" t="str">
        <f ca="1">RESULTADOS!AB27</f>
        <v/>
      </c>
      <c r="AY10" s="146" t="str">
        <f ca="1">RESULTADOS!AC27</f>
        <v/>
      </c>
      <c r="AZ10" s="146" t="str">
        <f ca="1">RESULTADOS!AD27</f>
        <v/>
      </c>
      <c r="BA10" s="146" t="str">
        <f ca="1">RESULTADOS!AE27</f>
        <v/>
      </c>
      <c r="BB10" s="146" t="str">
        <f ca="1">RESULTADOS!AF27</f>
        <v/>
      </c>
      <c r="BC10" s="146" t="str">
        <f ca="1">RESULTADOS!AG27</f>
        <v/>
      </c>
      <c r="BD10" s="146" t="str">
        <f ca="1">RESULTADOS!AH27</f>
        <v/>
      </c>
      <c r="BE10" s="146" t="str">
        <f ca="1">RESULTADOS!AI27</f>
        <v/>
      </c>
      <c r="BF10" s="146" t="str">
        <f ca="1">RESULTADOS!AJ27</f>
        <v/>
      </c>
      <c r="BG10" s="146" t="str">
        <f ca="1">RESULTADOS!AK27</f>
        <v/>
      </c>
      <c r="BH10" s="146" t="str">
        <f ca="1">RESULTADOS!AL27</f>
        <v/>
      </c>
      <c r="BI10" s="146" t="str">
        <f ca="1">RESULTADOS!AM27</f>
        <v/>
      </c>
      <c r="BJ10" s="146" t="str">
        <f ca="1">RESULTADOS!AN27</f>
        <v/>
      </c>
      <c r="BK10" s="146" t="str">
        <f ca="1">RESULTADOS!AO27</f>
        <v/>
      </c>
      <c r="BL10" s="146" t="str">
        <f ca="1">RESULTADOS!AP27</f>
        <v/>
      </c>
      <c r="BM10" s="146" t="str">
        <f ca="1">RESULTADOS!AQ27</f>
        <v/>
      </c>
      <c r="BN10" s="146" t="str">
        <f ca="1">RESULTADOS!AR27</f>
        <v/>
      </c>
      <c r="BO10" s="146" t="str">
        <f ca="1">RESULTADOS!AS27</f>
        <v/>
      </c>
      <c r="BP10" s="146" t="str">
        <f ca="1">RESULTADOS!AT27</f>
        <v/>
      </c>
      <c r="BQ10" s="146" t="str">
        <f ca="1">RESULTADOS!AU27</f>
        <v/>
      </c>
      <c r="BR10" s="146" t="str">
        <f ca="1">RESULTADOS!AV27</f>
        <v/>
      </c>
      <c r="BS10" s="146" t="str">
        <f ca="1">RESULTADOS!AW27</f>
        <v/>
      </c>
      <c r="BT10" s="146" t="str">
        <f ca="1">RESULTADOS!AX27</f>
        <v/>
      </c>
      <c r="BU10" s="146" t="str">
        <f ca="1">RESULTADOS!AY27</f>
        <v/>
      </c>
      <c r="BV10" s="146" t="str">
        <f ca="1">RESULTADOS!AZ27</f>
        <v/>
      </c>
      <c r="BW10" s="146" t="str">
        <f ca="1">RESULTADOS!BA27</f>
        <v/>
      </c>
      <c r="BX10" s="146" t="str">
        <f ca="1">RESULTADOS!BB27</f>
        <v/>
      </c>
      <c r="BY10" s="146" t="str">
        <f ca="1">RESULTADOS!BC27</f>
        <v/>
      </c>
      <c r="BZ10" s="146" t="str">
        <f ca="1">RESULTADOS!BD27</f>
        <v/>
      </c>
      <c r="CA10" s="146" t="str">
        <f ca="1">RESULTADOS!BE27</f>
        <v/>
      </c>
      <c r="CB10" s="146" t="str">
        <f ca="1">RESULTADOS!BF27</f>
        <v/>
      </c>
      <c r="CC10" s="146" t="str">
        <f ca="1">RESULTADOS!BG27</f>
        <v/>
      </c>
      <c r="CD10" s="146" t="str">
        <f ca="1">RESULTADOS!BH27</f>
        <v/>
      </c>
      <c r="CE10" s="146" t="str">
        <f ca="1">RESULTADOS!BI27</f>
        <v/>
      </c>
      <c r="CF10" s="146" t="str">
        <f ca="1">RESULTADOS!BJ27</f>
        <v/>
      </c>
      <c r="CG10" s="146" t="str">
        <f ca="1">RESULTADOS!BK27</f>
        <v/>
      </c>
      <c r="CH10" s="146" t="str">
        <f ca="1">RESULTADOS!BL27</f>
        <v/>
      </c>
      <c r="CI10" s="146" t="str">
        <f ca="1">RESULTADOS!BM27</f>
        <v/>
      </c>
      <c r="CJ10" s="146" t="str">
        <f ca="1">RESULTADOS!BN27</f>
        <v/>
      </c>
      <c r="CK10" s="146" t="str">
        <f ca="1">RESULTADOS!BO27</f>
        <v/>
      </c>
      <c r="CL10" s="146" t="str">
        <f ca="1">RESULTADOS!BP27</f>
        <v/>
      </c>
      <c r="CM10" s="146" t="str">
        <f ca="1">RESULTADOS!BQ27</f>
        <v/>
      </c>
      <c r="CN10" s="146" t="str">
        <f ca="1">RESULTADOS!BR27</f>
        <v/>
      </c>
      <c r="CO10" s="146" t="str">
        <f ca="1">RESULTADOS!BS27</f>
        <v/>
      </c>
      <c r="CP10" s="146" t="str">
        <f ca="1">RESULTADOS!BT27</f>
        <v/>
      </c>
      <c r="CQ10" s="146" t="str">
        <f ca="1">RESULTADOS!BU27</f>
        <v/>
      </c>
      <c r="CR10" s="146" t="str">
        <f ca="1">RESULTADOS!BV27</f>
        <v/>
      </c>
      <c r="CS10" s="146" t="str">
        <f ca="1">RESULTADOS!BW27</f>
        <v/>
      </c>
      <c r="CT10" s="146" t="str">
        <f ca="1">RESULTADOS!BX27</f>
        <v/>
      </c>
      <c r="CU10" s="146" t="str">
        <f ca="1">RESULTADOS!BY27</f>
        <v/>
      </c>
      <c r="CV10" s="146" t="str">
        <f ca="1">RESULTADOS!BZ27</f>
        <v/>
      </c>
      <c r="CW10" s="146" t="str">
        <f ca="1">RESULTADOS!CA27</f>
        <v/>
      </c>
      <c r="CX10" s="146" t="str">
        <f ca="1">RESULTADOS!CB27</f>
        <v/>
      </c>
      <c r="CY10" s="146" t="str">
        <f ca="1">RESULTADOS!CC27</f>
        <v/>
      </c>
      <c r="CZ10" s="146" t="str">
        <f ca="1">RESULTADOS!CD27</f>
        <v/>
      </c>
      <c r="DA10" s="146" t="str">
        <f ca="1">RESULTADOS!CE27</f>
        <v/>
      </c>
      <c r="DB10" s="146" t="str">
        <f ca="1">RESULTADOS!CF27</f>
        <v/>
      </c>
      <c r="DC10" s="146" t="str">
        <f ca="1">RESULTADOS!CG27</f>
        <v/>
      </c>
      <c r="DD10" s="146" t="str">
        <f ca="1">RESULTADOS!CH27</f>
        <v/>
      </c>
      <c r="DE10" s="146" t="str">
        <f ca="1">RESULTADOS!CI27</f>
        <v/>
      </c>
      <c r="DF10" s="146" t="str">
        <f ca="1">RESULTADOS!CJ27</f>
        <v/>
      </c>
      <c r="DG10" s="146" t="str">
        <f ca="1">RESULTADOS!CK27</f>
        <v/>
      </c>
      <c r="DH10" s="146" t="str">
        <f ca="1">RESULTADOS!CL27</f>
        <v/>
      </c>
      <c r="DI10" s="146" t="str">
        <f ca="1">RESULTADOS!CM27</f>
        <v/>
      </c>
      <c r="DJ10" s="146" t="str">
        <f ca="1">RESULTADOS!CN27</f>
        <v/>
      </c>
      <c r="DK10" s="146" t="str">
        <f ca="1">RESULTADOS!CO27</f>
        <v/>
      </c>
      <c r="DL10" s="146" t="str">
        <f ca="1">RESULTADOS!CP27</f>
        <v/>
      </c>
      <c r="DM10" s="146" t="str">
        <f ca="1">RESULTADOS!CQ27</f>
        <v/>
      </c>
      <c r="DN10" s="146" t="str">
        <f ca="1">RESULTADOS!CR27</f>
        <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ht="13">
      <c r="C11" s="144" t="s">
        <v>285</v>
      </c>
      <c r="D11" s="147" t="str">
        <f>'01.Definición de ámbito'!C29</f>
        <v>http://www.madrid.org/presupuestos</v>
      </c>
      <c r="E11" s="144" t="s">
        <v>308</v>
      </c>
      <c r="F11" s="147" t="str">
        <f>'02.Tecnologías'!F13</f>
        <v>No</v>
      </c>
      <c r="G11" s="147">
        <f>'02.Tecnologías'!K21</f>
        <v>0</v>
      </c>
      <c r="H11" s="147">
        <f>'02.Tecnologías'!L21</f>
        <v>0</v>
      </c>
      <c r="I11" s="206"/>
      <c r="J11" s="206"/>
      <c r="K11" s="144" t="s">
        <v>39</v>
      </c>
      <c r="L11" s="144"/>
      <c r="M11" s="144"/>
      <c r="N11" s="144"/>
      <c r="O11" s="144"/>
      <c r="P11" s="144"/>
      <c r="T11" s="148" t="str">
        <f>RESULTADOS!B28</f>
        <v/>
      </c>
      <c r="U11" s="148" t="str">
        <f>RESULTADOS!C28</f>
        <v/>
      </c>
      <c r="V11" s="148" t="str">
        <f t="shared" si="0"/>
        <v/>
      </c>
      <c r="W11" s="148" t="str">
        <v/>
      </c>
      <c r="X11" s="148" t="str">
        <f>RESULTADOS!D28</f>
        <v/>
      </c>
      <c r="Y11" s="148" t="str">
        <v/>
      </c>
      <c r="Z11" s="237" t="str">
        <v/>
      </c>
      <c r="AA11" s="146" t="str">
        <f ca="1">RESULTADOS!E28</f>
        <v/>
      </c>
      <c r="AB11" s="146" t="str">
        <f ca="1">RESULTADOS!F28</f>
        <v/>
      </c>
      <c r="AC11" s="146" t="str">
        <f ca="1">RESULTADOS!G28</f>
        <v/>
      </c>
      <c r="AD11" s="146" t="str">
        <f ca="1">RESULTADOS!H28</f>
        <v/>
      </c>
      <c r="AE11" s="146" t="str">
        <f ca="1">RESULTADOS!I28</f>
        <v/>
      </c>
      <c r="AF11" s="146" t="str">
        <f ca="1">RESULTADOS!J28</f>
        <v/>
      </c>
      <c r="AG11" s="146" t="str">
        <f ca="1">RESULTADOS!K28</f>
        <v/>
      </c>
      <c r="AH11" s="146" t="str">
        <f ca="1">RESULTADOS!L28</f>
        <v/>
      </c>
      <c r="AI11" s="146" t="str">
        <f ca="1">RESULTADOS!M28</f>
        <v/>
      </c>
      <c r="AJ11" s="146" t="str">
        <f ca="1">RESULTADOS!N28</f>
        <v/>
      </c>
      <c r="AK11" s="146" t="str">
        <f ca="1">RESULTADOS!O28</f>
        <v/>
      </c>
      <c r="AL11" s="146" t="str">
        <f ca="1">RESULTADOS!P28</f>
        <v/>
      </c>
      <c r="AM11" s="146" t="str">
        <f ca="1">RESULTADOS!Q28</f>
        <v/>
      </c>
      <c r="AN11" s="146" t="str">
        <f ca="1">RESULTADOS!R28</f>
        <v/>
      </c>
      <c r="AO11" s="146" t="str">
        <f ca="1">RESULTADOS!S28</f>
        <v/>
      </c>
      <c r="AP11" s="146" t="str">
        <f ca="1">RESULTADOS!T28</f>
        <v/>
      </c>
      <c r="AQ11" s="146" t="str">
        <f ca="1">RESULTADOS!U28</f>
        <v/>
      </c>
      <c r="AR11" s="146" t="str">
        <f ca="1">RESULTADOS!V28</f>
        <v/>
      </c>
      <c r="AS11" s="146" t="str">
        <f ca="1">RESULTADOS!W28</f>
        <v/>
      </c>
      <c r="AT11" s="146" t="str">
        <f ca="1">RESULTADOS!X28</f>
        <v/>
      </c>
      <c r="AU11" s="146" t="str">
        <f ca="1">RESULTADOS!Y28</f>
        <v/>
      </c>
      <c r="AV11" s="146" t="str">
        <f ca="1">RESULTADOS!Z28</f>
        <v/>
      </c>
      <c r="AW11" s="146" t="str">
        <f ca="1">RESULTADOS!AA28</f>
        <v/>
      </c>
      <c r="AX11" s="146" t="str">
        <f ca="1">RESULTADOS!AB28</f>
        <v/>
      </c>
      <c r="AY11" s="146" t="str">
        <f ca="1">RESULTADOS!AC28</f>
        <v/>
      </c>
      <c r="AZ11" s="146" t="str">
        <f ca="1">RESULTADOS!AD28</f>
        <v/>
      </c>
      <c r="BA11" s="146" t="str">
        <f ca="1">RESULTADOS!AE28</f>
        <v/>
      </c>
      <c r="BB11" s="146" t="str">
        <f ca="1">RESULTADOS!AF28</f>
        <v/>
      </c>
      <c r="BC11" s="146" t="str">
        <f ca="1">RESULTADOS!AG28</f>
        <v/>
      </c>
      <c r="BD11" s="146" t="str">
        <f ca="1">RESULTADOS!AH28</f>
        <v/>
      </c>
      <c r="BE11" s="146" t="str">
        <f ca="1">RESULTADOS!AI28</f>
        <v/>
      </c>
      <c r="BF11" s="146" t="str">
        <f ca="1">RESULTADOS!AJ28</f>
        <v/>
      </c>
      <c r="BG11" s="146" t="str">
        <f ca="1">RESULTADOS!AK28</f>
        <v/>
      </c>
      <c r="BH11" s="146" t="str">
        <f ca="1">RESULTADOS!AL28</f>
        <v/>
      </c>
      <c r="BI11" s="146" t="str">
        <f ca="1">RESULTADOS!AM28</f>
        <v/>
      </c>
      <c r="BJ11" s="146" t="str">
        <f ca="1">RESULTADOS!AN28</f>
        <v/>
      </c>
      <c r="BK11" s="146" t="str">
        <f ca="1">RESULTADOS!AO28</f>
        <v/>
      </c>
      <c r="BL11" s="146" t="str">
        <f ca="1">RESULTADOS!AP28</f>
        <v/>
      </c>
      <c r="BM11" s="146" t="str">
        <f ca="1">RESULTADOS!AQ28</f>
        <v/>
      </c>
      <c r="BN11" s="146" t="str">
        <f ca="1">RESULTADOS!AR28</f>
        <v/>
      </c>
      <c r="BO11" s="146" t="str">
        <f ca="1">RESULTADOS!AS28</f>
        <v/>
      </c>
      <c r="BP11" s="146" t="str">
        <f ca="1">RESULTADOS!AT28</f>
        <v/>
      </c>
      <c r="BQ11" s="146" t="str">
        <f ca="1">RESULTADOS!AU28</f>
        <v/>
      </c>
      <c r="BR11" s="146" t="str">
        <f ca="1">RESULTADOS!AV28</f>
        <v/>
      </c>
      <c r="BS11" s="146" t="str">
        <f ca="1">RESULTADOS!AW28</f>
        <v/>
      </c>
      <c r="BT11" s="146" t="str">
        <f ca="1">RESULTADOS!AX28</f>
        <v/>
      </c>
      <c r="BU11" s="146" t="str">
        <f ca="1">RESULTADOS!AY28</f>
        <v/>
      </c>
      <c r="BV11" s="146" t="str">
        <f ca="1">RESULTADOS!AZ28</f>
        <v/>
      </c>
      <c r="BW11" s="146" t="str">
        <f ca="1">RESULTADOS!BA28</f>
        <v/>
      </c>
      <c r="BX11" s="146" t="str">
        <f ca="1">RESULTADOS!BB28</f>
        <v/>
      </c>
      <c r="BY11" s="146" t="str">
        <f ca="1">RESULTADOS!BC28</f>
        <v/>
      </c>
      <c r="BZ11" s="146" t="str">
        <f ca="1">RESULTADOS!BD28</f>
        <v/>
      </c>
      <c r="CA11" s="146" t="str">
        <f ca="1">RESULTADOS!BE28</f>
        <v/>
      </c>
      <c r="CB11" s="146" t="str">
        <f ca="1">RESULTADOS!BF28</f>
        <v/>
      </c>
      <c r="CC11" s="146" t="str">
        <f ca="1">RESULTADOS!BG28</f>
        <v/>
      </c>
      <c r="CD11" s="146" t="str">
        <f ca="1">RESULTADOS!BH28</f>
        <v/>
      </c>
      <c r="CE11" s="146" t="str">
        <f ca="1">RESULTADOS!BI28</f>
        <v/>
      </c>
      <c r="CF11" s="146" t="str">
        <f ca="1">RESULTADOS!BJ28</f>
        <v/>
      </c>
      <c r="CG11" s="146" t="str">
        <f ca="1">RESULTADOS!BK28</f>
        <v/>
      </c>
      <c r="CH11" s="146" t="str">
        <f ca="1">RESULTADOS!BL28</f>
        <v/>
      </c>
      <c r="CI11" s="146" t="str">
        <f ca="1">RESULTADOS!BM28</f>
        <v/>
      </c>
      <c r="CJ11" s="146" t="str">
        <f ca="1">RESULTADOS!BN28</f>
        <v/>
      </c>
      <c r="CK11" s="146" t="str">
        <f ca="1">RESULTADOS!BO28</f>
        <v/>
      </c>
      <c r="CL11" s="146" t="str">
        <f ca="1">RESULTADOS!BP28</f>
        <v/>
      </c>
      <c r="CM11" s="146" t="str">
        <f ca="1">RESULTADOS!BQ28</f>
        <v/>
      </c>
      <c r="CN11" s="146" t="str">
        <f ca="1">RESULTADOS!BR28</f>
        <v/>
      </c>
      <c r="CO11" s="146" t="str">
        <f ca="1">RESULTADOS!BS28</f>
        <v/>
      </c>
      <c r="CP11" s="146" t="str">
        <f ca="1">RESULTADOS!BT28</f>
        <v/>
      </c>
      <c r="CQ11" s="146" t="str">
        <f ca="1">RESULTADOS!BU28</f>
        <v/>
      </c>
      <c r="CR11" s="146" t="str">
        <f ca="1">RESULTADOS!BV28</f>
        <v/>
      </c>
      <c r="CS11" s="146" t="str">
        <f ca="1">RESULTADOS!BW28</f>
        <v/>
      </c>
      <c r="CT11" s="146" t="str">
        <f ca="1">RESULTADOS!BX28</f>
        <v/>
      </c>
      <c r="CU11" s="146" t="str">
        <f ca="1">RESULTADOS!BY28</f>
        <v/>
      </c>
      <c r="CV11" s="146" t="str">
        <f ca="1">RESULTADOS!BZ28</f>
        <v/>
      </c>
      <c r="CW11" s="146" t="str">
        <f ca="1">RESULTADOS!CA28</f>
        <v/>
      </c>
      <c r="CX11" s="146" t="str">
        <f ca="1">RESULTADOS!CB28</f>
        <v/>
      </c>
      <c r="CY11" s="146" t="str">
        <f ca="1">RESULTADOS!CC28</f>
        <v/>
      </c>
      <c r="CZ11" s="146" t="str">
        <f ca="1">RESULTADOS!CD28</f>
        <v/>
      </c>
      <c r="DA11" s="146" t="str">
        <f ca="1">RESULTADOS!CE28</f>
        <v/>
      </c>
      <c r="DB11" s="146" t="str">
        <f ca="1">RESULTADOS!CF28</f>
        <v/>
      </c>
      <c r="DC11" s="146" t="str">
        <f ca="1">RESULTADOS!CG28</f>
        <v/>
      </c>
      <c r="DD11" s="146" t="str">
        <f ca="1">RESULTADOS!CH28</f>
        <v/>
      </c>
      <c r="DE11" s="146" t="str">
        <f ca="1">RESULTADOS!CI28</f>
        <v/>
      </c>
      <c r="DF11" s="146" t="str">
        <f ca="1">RESULTADOS!CJ28</f>
        <v/>
      </c>
      <c r="DG11" s="146" t="str">
        <f ca="1">RESULTADOS!CK28</f>
        <v/>
      </c>
      <c r="DH11" s="146" t="str">
        <f ca="1">RESULTADOS!CL28</f>
        <v/>
      </c>
      <c r="DI11" s="146" t="str">
        <f ca="1">RESULTADOS!CM28</f>
        <v/>
      </c>
      <c r="DJ11" s="146" t="str">
        <f ca="1">RESULTADOS!CN28</f>
        <v/>
      </c>
      <c r="DK11" s="146" t="str">
        <f ca="1">RESULTADOS!CO28</f>
        <v/>
      </c>
      <c r="DL11" s="146" t="str">
        <f ca="1">RESULTADOS!CP28</f>
        <v/>
      </c>
      <c r="DM11" s="146" t="str">
        <f ca="1">RESULTADOS!CQ28</f>
        <v/>
      </c>
      <c r="DN11" s="146" t="str">
        <f ca="1">RESULTADOS!CR28</f>
        <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ht="13">
      <c r="C12" s="144" t="s">
        <v>139</v>
      </c>
      <c r="D12" s="147" t="str">
        <f>'01.Definición de ámbito'!C31</f>
        <v>Se analizan las paginas del dominio 'http://www.madrid.org/presupuestos'</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t="str">
        <f>RESULTADOS!B29</f>
        <v/>
      </c>
      <c r="U12" s="148" t="str">
        <f>RESULTADOS!C29</f>
        <v/>
      </c>
      <c r="V12" s="148" t="str">
        <f t="shared" si="0"/>
        <v/>
      </c>
      <c r="W12" s="148" t="str">
        <v/>
      </c>
      <c r="X12" s="148" t="str">
        <f>RESULTADOS!D29</f>
        <v/>
      </c>
      <c r="Y12" s="148" t="str">
        <v/>
      </c>
      <c r="Z12" s="237" t="str">
        <v/>
      </c>
      <c r="AA12" s="146" t="str">
        <f ca="1">RESULTADOS!E29</f>
        <v/>
      </c>
      <c r="AB12" s="146" t="str">
        <f ca="1">RESULTADOS!F29</f>
        <v/>
      </c>
      <c r="AC12" s="146" t="str">
        <f ca="1">RESULTADOS!G29</f>
        <v/>
      </c>
      <c r="AD12" s="146" t="str">
        <f ca="1">RESULTADOS!H29</f>
        <v/>
      </c>
      <c r="AE12" s="146" t="str">
        <f ca="1">RESULTADOS!I29</f>
        <v/>
      </c>
      <c r="AF12" s="146" t="str">
        <f ca="1">RESULTADOS!J29</f>
        <v/>
      </c>
      <c r="AG12" s="146" t="str">
        <f ca="1">RESULTADOS!K29</f>
        <v/>
      </c>
      <c r="AH12" s="146" t="str">
        <f ca="1">RESULTADOS!L29</f>
        <v/>
      </c>
      <c r="AI12" s="146" t="str">
        <f ca="1">RESULTADOS!M29</f>
        <v/>
      </c>
      <c r="AJ12" s="146" t="str">
        <f ca="1">RESULTADOS!N29</f>
        <v/>
      </c>
      <c r="AK12" s="146" t="str">
        <f ca="1">RESULTADOS!O29</f>
        <v/>
      </c>
      <c r="AL12" s="146" t="str">
        <f ca="1">RESULTADOS!P29</f>
        <v/>
      </c>
      <c r="AM12" s="146" t="str">
        <f ca="1">RESULTADOS!Q29</f>
        <v/>
      </c>
      <c r="AN12" s="146" t="str">
        <f ca="1">RESULTADOS!R29</f>
        <v/>
      </c>
      <c r="AO12" s="146" t="str">
        <f ca="1">RESULTADOS!S29</f>
        <v/>
      </c>
      <c r="AP12" s="146" t="str">
        <f ca="1">RESULTADOS!T29</f>
        <v/>
      </c>
      <c r="AQ12" s="146" t="str">
        <f ca="1">RESULTADOS!U29</f>
        <v/>
      </c>
      <c r="AR12" s="146" t="str">
        <f ca="1">RESULTADOS!V29</f>
        <v/>
      </c>
      <c r="AS12" s="146" t="str">
        <f ca="1">RESULTADOS!W29</f>
        <v/>
      </c>
      <c r="AT12" s="146" t="str">
        <f ca="1">RESULTADOS!X29</f>
        <v/>
      </c>
      <c r="AU12" s="146" t="str">
        <f ca="1">RESULTADOS!Y29</f>
        <v/>
      </c>
      <c r="AV12" s="146" t="str">
        <f ca="1">RESULTADOS!Z29</f>
        <v/>
      </c>
      <c r="AW12" s="146" t="str">
        <f ca="1">RESULTADOS!AA29</f>
        <v/>
      </c>
      <c r="AX12" s="146" t="str">
        <f ca="1">RESULTADOS!AB29</f>
        <v/>
      </c>
      <c r="AY12" s="146" t="str">
        <f ca="1">RESULTADOS!AC29</f>
        <v/>
      </c>
      <c r="AZ12" s="146" t="str">
        <f ca="1">RESULTADOS!AD29</f>
        <v/>
      </c>
      <c r="BA12" s="146" t="str">
        <f ca="1">RESULTADOS!AE29</f>
        <v/>
      </c>
      <c r="BB12" s="146" t="str">
        <f ca="1">RESULTADOS!AF29</f>
        <v/>
      </c>
      <c r="BC12" s="146" t="str">
        <f ca="1">RESULTADOS!AG29</f>
        <v/>
      </c>
      <c r="BD12" s="146" t="str">
        <f ca="1">RESULTADOS!AH29</f>
        <v/>
      </c>
      <c r="BE12" s="146" t="str">
        <f ca="1">RESULTADOS!AI29</f>
        <v/>
      </c>
      <c r="BF12" s="146" t="str">
        <f ca="1">RESULTADOS!AJ29</f>
        <v/>
      </c>
      <c r="BG12" s="146" t="str">
        <f ca="1">RESULTADOS!AK29</f>
        <v/>
      </c>
      <c r="BH12" s="146" t="str">
        <f ca="1">RESULTADOS!AL29</f>
        <v/>
      </c>
      <c r="BI12" s="146" t="str">
        <f ca="1">RESULTADOS!AM29</f>
        <v/>
      </c>
      <c r="BJ12" s="146" t="str">
        <f ca="1">RESULTADOS!AN29</f>
        <v/>
      </c>
      <c r="BK12" s="146" t="str">
        <f ca="1">RESULTADOS!AO29</f>
        <v/>
      </c>
      <c r="BL12" s="146" t="str">
        <f ca="1">RESULTADOS!AP29</f>
        <v/>
      </c>
      <c r="BM12" s="146" t="str">
        <f ca="1">RESULTADOS!AQ29</f>
        <v/>
      </c>
      <c r="BN12" s="146" t="str">
        <f ca="1">RESULTADOS!AR29</f>
        <v/>
      </c>
      <c r="BO12" s="146" t="str">
        <f ca="1">RESULTADOS!AS29</f>
        <v/>
      </c>
      <c r="BP12" s="146" t="str">
        <f ca="1">RESULTADOS!AT29</f>
        <v/>
      </c>
      <c r="BQ12" s="146" t="str">
        <f ca="1">RESULTADOS!AU29</f>
        <v/>
      </c>
      <c r="BR12" s="146" t="str">
        <f ca="1">RESULTADOS!AV29</f>
        <v/>
      </c>
      <c r="BS12" s="146" t="str">
        <f ca="1">RESULTADOS!AW29</f>
        <v/>
      </c>
      <c r="BT12" s="146" t="str">
        <f ca="1">RESULTADOS!AX29</f>
        <v/>
      </c>
      <c r="BU12" s="146" t="str">
        <f ca="1">RESULTADOS!AY29</f>
        <v/>
      </c>
      <c r="BV12" s="146" t="str">
        <f ca="1">RESULTADOS!AZ29</f>
        <v/>
      </c>
      <c r="BW12" s="146" t="str">
        <f ca="1">RESULTADOS!BA29</f>
        <v/>
      </c>
      <c r="BX12" s="146" t="str">
        <f ca="1">RESULTADOS!BB29</f>
        <v/>
      </c>
      <c r="BY12" s="146" t="str">
        <f ca="1">RESULTADOS!BC29</f>
        <v/>
      </c>
      <c r="BZ12" s="146" t="str">
        <f ca="1">RESULTADOS!BD29</f>
        <v/>
      </c>
      <c r="CA12" s="146" t="str">
        <f ca="1">RESULTADOS!BE29</f>
        <v/>
      </c>
      <c r="CB12" s="146" t="str">
        <f ca="1">RESULTADOS!BF29</f>
        <v/>
      </c>
      <c r="CC12" s="146" t="str">
        <f ca="1">RESULTADOS!BG29</f>
        <v/>
      </c>
      <c r="CD12" s="146" t="str">
        <f ca="1">RESULTADOS!BH29</f>
        <v/>
      </c>
      <c r="CE12" s="146" t="str">
        <f ca="1">RESULTADOS!BI29</f>
        <v/>
      </c>
      <c r="CF12" s="146" t="str">
        <f ca="1">RESULTADOS!BJ29</f>
        <v/>
      </c>
      <c r="CG12" s="146" t="str">
        <f ca="1">RESULTADOS!BK29</f>
        <v/>
      </c>
      <c r="CH12" s="146" t="str">
        <f ca="1">RESULTADOS!BL29</f>
        <v/>
      </c>
      <c r="CI12" s="146" t="str">
        <f ca="1">RESULTADOS!BM29</f>
        <v/>
      </c>
      <c r="CJ12" s="146" t="str">
        <f ca="1">RESULTADOS!BN29</f>
        <v/>
      </c>
      <c r="CK12" s="146" t="str">
        <f ca="1">RESULTADOS!BO29</f>
        <v/>
      </c>
      <c r="CL12" s="146" t="str">
        <f ca="1">RESULTADOS!BP29</f>
        <v/>
      </c>
      <c r="CM12" s="146" t="str">
        <f ca="1">RESULTADOS!BQ29</f>
        <v/>
      </c>
      <c r="CN12" s="146" t="str">
        <f ca="1">RESULTADOS!BR29</f>
        <v/>
      </c>
      <c r="CO12" s="146" t="str">
        <f ca="1">RESULTADOS!BS29</f>
        <v/>
      </c>
      <c r="CP12" s="146" t="str">
        <f ca="1">RESULTADOS!BT29</f>
        <v/>
      </c>
      <c r="CQ12" s="146" t="str">
        <f ca="1">RESULTADOS!BU29</f>
        <v/>
      </c>
      <c r="CR12" s="146" t="str">
        <f ca="1">RESULTADOS!BV29</f>
        <v/>
      </c>
      <c r="CS12" s="146" t="str">
        <f ca="1">RESULTADOS!BW29</f>
        <v/>
      </c>
      <c r="CT12" s="146" t="str">
        <f ca="1">RESULTADOS!BX29</f>
        <v/>
      </c>
      <c r="CU12" s="146" t="str">
        <f ca="1">RESULTADOS!BY29</f>
        <v/>
      </c>
      <c r="CV12" s="146" t="str">
        <f ca="1">RESULTADOS!BZ29</f>
        <v/>
      </c>
      <c r="CW12" s="146" t="str">
        <f ca="1">RESULTADOS!CA29</f>
        <v/>
      </c>
      <c r="CX12" s="146" t="str">
        <f ca="1">RESULTADOS!CB29</f>
        <v/>
      </c>
      <c r="CY12" s="146" t="str">
        <f ca="1">RESULTADOS!CC29</f>
        <v/>
      </c>
      <c r="CZ12" s="146" t="str">
        <f ca="1">RESULTADOS!CD29</f>
        <v/>
      </c>
      <c r="DA12" s="146" t="str">
        <f ca="1">RESULTADOS!CE29</f>
        <v/>
      </c>
      <c r="DB12" s="146" t="str">
        <f ca="1">RESULTADOS!CF29</f>
        <v/>
      </c>
      <c r="DC12" s="146" t="str">
        <f ca="1">RESULTADOS!CG29</f>
        <v/>
      </c>
      <c r="DD12" s="146" t="str">
        <f ca="1">RESULTADOS!CH29</f>
        <v/>
      </c>
      <c r="DE12" s="146" t="str">
        <f ca="1">RESULTADOS!CI29</f>
        <v/>
      </c>
      <c r="DF12" s="146" t="str">
        <f ca="1">RESULTADOS!CJ29</f>
        <v/>
      </c>
      <c r="DG12" s="146" t="str">
        <f ca="1">RESULTADOS!CK29</f>
        <v/>
      </c>
      <c r="DH12" s="146" t="str">
        <f ca="1">RESULTADOS!CL29</f>
        <v/>
      </c>
      <c r="DI12" s="146" t="str">
        <f ca="1">RESULTADOS!CM29</f>
        <v/>
      </c>
      <c r="DJ12" s="146" t="str">
        <f ca="1">RESULTADOS!CN29</f>
        <v/>
      </c>
      <c r="DK12" s="146" t="str">
        <f ca="1">RESULTADOS!CO29</f>
        <v/>
      </c>
      <c r="DL12" s="146" t="str">
        <f ca="1">RESULTADOS!CP29</f>
        <v/>
      </c>
      <c r="DM12" s="146" t="str">
        <f ca="1">RESULTADOS!CQ29</f>
        <v/>
      </c>
      <c r="DN12" s="146" t="str">
        <f ca="1">RESULTADOS!CR29</f>
        <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ht="13">
      <c r="C13" s="144" t="s">
        <v>286</v>
      </c>
      <c r="D13" s="147" t="str">
        <f>'01.Definición de ámbito'!C33</f>
        <v>Presupuestos de la comunidad de Madrid.</v>
      </c>
      <c r="E13" s="144" t="s">
        <v>298</v>
      </c>
      <c r="F13" s="147" t="str">
        <f>'02.Tecnologías'!I10</f>
        <v>No</v>
      </c>
      <c r="G13" s="147">
        <f>'02.Tecnologías'!K23</f>
        <v>0</v>
      </c>
      <c r="H13" s="147">
        <f>'02.Tecnologías'!L23</f>
        <v>0</v>
      </c>
      <c r="I13" s="206"/>
      <c r="J13" s="206"/>
      <c r="K13" s="40" t="s">
        <v>150</v>
      </c>
      <c r="L13" s="208" t="str">
        <f ca="1">RESULTADOS!E8</f>
        <v>21 (22,83 %)</v>
      </c>
      <c r="M13" s="208" t="str">
        <f ca="1">RESULTADOS!F8</f>
        <v>14 (15,22 %)</v>
      </c>
      <c r="N13" s="208" t="str">
        <f ca="1">RESULTADOS!G8</f>
        <v>57 (61,96 %)</v>
      </c>
      <c r="O13" s="148">
        <f ca="1">RESULTADOS!H8</f>
        <v>0</v>
      </c>
      <c r="P13" s="148">
        <f ca="1">RESULTADOS!I8</f>
        <v>0</v>
      </c>
      <c r="T13" s="148" t="str">
        <f>RESULTADOS!B30</f>
        <v/>
      </c>
      <c r="U13" s="148" t="str">
        <f>RESULTADOS!C30</f>
        <v/>
      </c>
      <c r="V13" s="148" t="str">
        <f t="shared" si="0"/>
        <v/>
      </c>
      <c r="W13" s="148" t="str">
        <v/>
      </c>
      <c r="X13" s="148" t="str">
        <f>RESULTADOS!D30</f>
        <v/>
      </c>
      <c r="Y13" s="148" t="str">
        <v/>
      </c>
      <c r="Z13" s="237" t="str">
        <v/>
      </c>
      <c r="AA13" s="146" t="str">
        <f ca="1">RESULTADOS!E30</f>
        <v/>
      </c>
      <c r="AB13" s="146" t="str">
        <f ca="1">RESULTADOS!F30</f>
        <v/>
      </c>
      <c r="AC13" s="146" t="str">
        <f ca="1">RESULTADOS!G30</f>
        <v/>
      </c>
      <c r="AD13" s="146" t="str">
        <f ca="1">RESULTADOS!H30</f>
        <v/>
      </c>
      <c r="AE13" s="146" t="str">
        <f ca="1">RESULTADOS!I30</f>
        <v/>
      </c>
      <c r="AF13" s="146" t="str">
        <f ca="1">RESULTADOS!J30</f>
        <v/>
      </c>
      <c r="AG13" s="146" t="str">
        <f ca="1">RESULTADOS!K30</f>
        <v/>
      </c>
      <c r="AH13" s="146" t="str">
        <f ca="1">RESULTADOS!L30</f>
        <v/>
      </c>
      <c r="AI13" s="146" t="str">
        <f ca="1">RESULTADOS!M30</f>
        <v/>
      </c>
      <c r="AJ13" s="146" t="str">
        <f ca="1">RESULTADOS!N30</f>
        <v/>
      </c>
      <c r="AK13" s="146" t="str">
        <f ca="1">RESULTADOS!O30</f>
        <v/>
      </c>
      <c r="AL13" s="146" t="str">
        <f ca="1">RESULTADOS!P30</f>
        <v/>
      </c>
      <c r="AM13" s="146" t="str">
        <f ca="1">RESULTADOS!Q30</f>
        <v/>
      </c>
      <c r="AN13" s="146" t="str">
        <f ca="1">RESULTADOS!R30</f>
        <v/>
      </c>
      <c r="AO13" s="146" t="str">
        <f ca="1">RESULTADOS!S30</f>
        <v/>
      </c>
      <c r="AP13" s="146" t="str">
        <f ca="1">RESULTADOS!T30</f>
        <v/>
      </c>
      <c r="AQ13" s="146" t="str">
        <f ca="1">RESULTADOS!U30</f>
        <v/>
      </c>
      <c r="AR13" s="146" t="str">
        <f ca="1">RESULTADOS!V30</f>
        <v/>
      </c>
      <c r="AS13" s="146" t="str">
        <f ca="1">RESULTADOS!W30</f>
        <v/>
      </c>
      <c r="AT13" s="146" t="str">
        <f ca="1">RESULTADOS!X30</f>
        <v/>
      </c>
      <c r="AU13" s="146" t="str">
        <f ca="1">RESULTADOS!Y30</f>
        <v/>
      </c>
      <c r="AV13" s="146" t="str">
        <f ca="1">RESULTADOS!Z30</f>
        <v/>
      </c>
      <c r="AW13" s="146" t="str">
        <f ca="1">RESULTADOS!AA30</f>
        <v/>
      </c>
      <c r="AX13" s="146" t="str">
        <f ca="1">RESULTADOS!AB30</f>
        <v/>
      </c>
      <c r="AY13" s="146" t="str">
        <f ca="1">RESULTADOS!AC30</f>
        <v/>
      </c>
      <c r="AZ13" s="146" t="str">
        <f ca="1">RESULTADOS!AD30</f>
        <v/>
      </c>
      <c r="BA13" s="146" t="str">
        <f ca="1">RESULTADOS!AE30</f>
        <v/>
      </c>
      <c r="BB13" s="146" t="str">
        <f ca="1">RESULTADOS!AF30</f>
        <v/>
      </c>
      <c r="BC13" s="146" t="str">
        <f ca="1">RESULTADOS!AG30</f>
        <v/>
      </c>
      <c r="BD13" s="146" t="str">
        <f ca="1">RESULTADOS!AH30</f>
        <v/>
      </c>
      <c r="BE13" s="146" t="str">
        <f ca="1">RESULTADOS!AI30</f>
        <v/>
      </c>
      <c r="BF13" s="146" t="str">
        <f ca="1">RESULTADOS!AJ30</f>
        <v/>
      </c>
      <c r="BG13" s="146" t="str">
        <f ca="1">RESULTADOS!AK30</f>
        <v/>
      </c>
      <c r="BH13" s="146" t="str">
        <f ca="1">RESULTADOS!AL30</f>
        <v/>
      </c>
      <c r="BI13" s="146" t="str">
        <f ca="1">RESULTADOS!AM30</f>
        <v/>
      </c>
      <c r="BJ13" s="146" t="str">
        <f ca="1">RESULTADOS!AN30</f>
        <v/>
      </c>
      <c r="BK13" s="146" t="str">
        <f ca="1">RESULTADOS!AO30</f>
        <v/>
      </c>
      <c r="BL13" s="146" t="str">
        <f ca="1">RESULTADOS!AP30</f>
        <v/>
      </c>
      <c r="BM13" s="146" t="str">
        <f ca="1">RESULTADOS!AQ30</f>
        <v/>
      </c>
      <c r="BN13" s="146" t="str">
        <f ca="1">RESULTADOS!AR30</f>
        <v/>
      </c>
      <c r="BO13" s="146" t="str">
        <f ca="1">RESULTADOS!AS30</f>
        <v/>
      </c>
      <c r="BP13" s="146" t="str">
        <f ca="1">RESULTADOS!AT30</f>
        <v/>
      </c>
      <c r="BQ13" s="146" t="str">
        <f ca="1">RESULTADOS!AU30</f>
        <v/>
      </c>
      <c r="BR13" s="146" t="str">
        <f ca="1">RESULTADOS!AV30</f>
        <v/>
      </c>
      <c r="BS13" s="146" t="str">
        <f ca="1">RESULTADOS!AW30</f>
        <v/>
      </c>
      <c r="BT13" s="146" t="str">
        <f ca="1">RESULTADOS!AX30</f>
        <v/>
      </c>
      <c r="BU13" s="146" t="str">
        <f ca="1">RESULTADOS!AY30</f>
        <v/>
      </c>
      <c r="BV13" s="146" t="str">
        <f ca="1">RESULTADOS!AZ30</f>
        <v/>
      </c>
      <c r="BW13" s="146" t="str">
        <f ca="1">RESULTADOS!BA30</f>
        <v/>
      </c>
      <c r="BX13" s="146" t="str">
        <f ca="1">RESULTADOS!BB30</f>
        <v/>
      </c>
      <c r="BY13" s="146" t="str">
        <f ca="1">RESULTADOS!BC30</f>
        <v/>
      </c>
      <c r="BZ13" s="146" t="str">
        <f ca="1">RESULTADOS!BD30</f>
        <v/>
      </c>
      <c r="CA13" s="146" t="str">
        <f ca="1">RESULTADOS!BE30</f>
        <v/>
      </c>
      <c r="CB13" s="146" t="str">
        <f ca="1">RESULTADOS!BF30</f>
        <v/>
      </c>
      <c r="CC13" s="146" t="str">
        <f ca="1">RESULTADOS!BG30</f>
        <v/>
      </c>
      <c r="CD13" s="146" t="str">
        <f ca="1">RESULTADOS!BH30</f>
        <v/>
      </c>
      <c r="CE13" s="146" t="str">
        <f ca="1">RESULTADOS!BI30</f>
        <v/>
      </c>
      <c r="CF13" s="146" t="str">
        <f ca="1">RESULTADOS!BJ30</f>
        <v/>
      </c>
      <c r="CG13" s="146" t="str">
        <f ca="1">RESULTADOS!BK30</f>
        <v/>
      </c>
      <c r="CH13" s="146" t="str">
        <f ca="1">RESULTADOS!BL30</f>
        <v/>
      </c>
      <c r="CI13" s="146" t="str">
        <f ca="1">RESULTADOS!BM30</f>
        <v/>
      </c>
      <c r="CJ13" s="146" t="str">
        <f ca="1">RESULTADOS!BN30</f>
        <v/>
      </c>
      <c r="CK13" s="146" t="str">
        <f ca="1">RESULTADOS!BO30</f>
        <v/>
      </c>
      <c r="CL13" s="146" t="str">
        <f ca="1">RESULTADOS!BP30</f>
        <v/>
      </c>
      <c r="CM13" s="146" t="str">
        <f ca="1">RESULTADOS!BQ30</f>
        <v/>
      </c>
      <c r="CN13" s="146" t="str">
        <f ca="1">RESULTADOS!BR30</f>
        <v/>
      </c>
      <c r="CO13" s="146" t="str">
        <f ca="1">RESULTADOS!BS30</f>
        <v/>
      </c>
      <c r="CP13" s="146" t="str">
        <f ca="1">RESULTADOS!BT30</f>
        <v/>
      </c>
      <c r="CQ13" s="146" t="str">
        <f ca="1">RESULTADOS!BU30</f>
        <v/>
      </c>
      <c r="CR13" s="146" t="str">
        <f ca="1">RESULTADOS!BV30</f>
        <v/>
      </c>
      <c r="CS13" s="146" t="str">
        <f ca="1">RESULTADOS!BW30</f>
        <v/>
      </c>
      <c r="CT13" s="146" t="str">
        <f ca="1">RESULTADOS!BX30</f>
        <v/>
      </c>
      <c r="CU13" s="146" t="str">
        <f ca="1">RESULTADOS!BY30</f>
        <v/>
      </c>
      <c r="CV13" s="146" t="str">
        <f ca="1">RESULTADOS!BZ30</f>
        <v/>
      </c>
      <c r="CW13" s="146" t="str">
        <f ca="1">RESULTADOS!CA30</f>
        <v/>
      </c>
      <c r="CX13" s="146" t="str">
        <f ca="1">RESULTADOS!CB30</f>
        <v/>
      </c>
      <c r="CY13" s="146" t="str">
        <f ca="1">RESULTADOS!CC30</f>
        <v/>
      </c>
      <c r="CZ13" s="146" t="str">
        <f ca="1">RESULTADOS!CD30</f>
        <v/>
      </c>
      <c r="DA13" s="146" t="str">
        <f ca="1">RESULTADOS!CE30</f>
        <v/>
      </c>
      <c r="DB13" s="146" t="str">
        <f ca="1">RESULTADOS!CF30</f>
        <v/>
      </c>
      <c r="DC13" s="146" t="str">
        <f ca="1">RESULTADOS!CG30</f>
        <v/>
      </c>
      <c r="DD13" s="146" t="str">
        <f ca="1">RESULTADOS!CH30</f>
        <v/>
      </c>
      <c r="DE13" s="146" t="str">
        <f ca="1">RESULTADOS!CI30</f>
        <v/>
      </c>
      <c r="DF13" s="146" t="str">
        <f ca="1">RESULTADOS!CJ30</f>
        <v/>
      </c>
      <c r="DG13" s="146" t="str">
        <f ca="1">RESULTADOS!CK30</f>
        <v/>
      </c>
      <c r="DH13" s="146" t="str">
        <f ca="1">RESULTADOS!CL30</f>
        <v/>
      </c>
      <c r="DI13" s="146" t="str">
        <f ca="1">RESULTADOS!CM30</f>
        <v/>
      </c>
      <c r="DJ13" s="146" t="str">
        <f ca="1">RESULTADOS!CN30</f>
        <v/>
      </c>
      <c r="DK13" s="146" t="str">
        <f ca="1">RESULTADOS!CO30</f>
        <v/>
      </c>
      <c r="DL13" s="146" t="str">
        <f ca="1">RESULTADOS!CP30</f>
        <v/>
      </c>
      <c r="DM13" s="146" t="str">
        <f ca="1">RESULTADOS!CQ30</f>
        <v/>
      </c>
      <c r="DN13" s="146" t="str">
        <f ca="1">RESULTADOS!CR30</f>
        <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ht="13">
      <c r="C14" s="144" t="s">
        <v>140</v>
      </c>
      <c r="D14" s="147">
        <f>'01.Definición de ámbito'!C35</f>
        <v>45134</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t="str">
        <f>RESULTADOS!B31</f>
        <v/>
      </c>
      <c r="U14" s="148" t="str">
        <f>RESULTADOS!C31</f>
        <v/>
      </c>
      <c r="V14" s="148" t="str">
        <f t="shared" si="0"/>
        <v/>
      </c>
      <c r="W14" s="148" t="str">
        <v/>
      </c>
      <c r="X14" s="148" t="str">
        <f>RESULTADOS!D31</f>
        <v/>
      </c>
      <c r="Y14" s="148" t="str">
        <v/>
      </c>
      <c r="Z14" s="237" t="str">
        <v/>
      </c>
      <c r="AA14" s="146" t="str">
        <f ca="1">RESULTADOS!E31</f>
        <v/>
      </c>
      <c r="AB14" s="146" t="str">
        <f ca="1">RESULTADOS!F31</f>
        <v/>
      </c>
      <c r="AC14" s="146" t="str">
        <f ca="1">RESULTADOS!G31</f>
        <v/>
      </c>
      <c r="AD14" s="146" t="str">
        <f ca="1">RESULTADOS!H31</f>
        <v/>
      </c>
      <c r="AE14" s="146" t="str">
        <f ca="1">RESULTADOS!I31</f>
        <v/>
      </c>
      <c r="AF14" s="146" t="str">
        <f ca="1">RESULTADOS!J31</f>
        <v/>
      </c>
      <c r="AG14" s="146" t="str">
        <f ca="1">RESULTADOS!K31</f>
        <v/>
      </c>
      <c r="AH14" s="146" t="str">
        <f ca="1">RESULTADOS!L31</f>
        <v/>
      </c>
      <c r="AI14" s="146" t="str">
        <f ca="1">RESULTADOS!M31</f>
        <v/>
      </c>
      <c r="AJ14" s="146" t="str">
        <f ca="1">RESULTADOS!N31</f>
        <v/>
      </c>
      <c r="AK14" s="146" t="str">
        <f ca="1">RESULTADOS!O31</f>
        <v/>
      </c>
      <c r="AL14" s="146" t="str">
        <f ca="1">RESULTADOS!P31</f>
        <v/>
      </c>
      <c r="AM14" s="146" t="str">
        <f ca="1">RESULTADOS!Q31</f>
        <v/>
      </c>
      <c r="AN14" s="146" t="str">
        <f ca="1">RESULTADOS!R31</f>
        <v/>
      </c>
      <c r="AO14" s="146" t="str">
        <f ca="1">RESULTADOS!S31</f>
        <v/>
      </c>
      <c r="AP14" s="146" t="str">
        <f ca="1">RESULTADOS!T31</f>
        <v/>
      </c>
      <c r="AQ14" s="146" t="str">
        <f ca="1">RESULTADOS!U31</f>
        <v/>
      </c>
      <c r="AR14" s="146" t="str">
        <f ca="1">RESULTADOS!V31</f>
        <v/>
      </c>
      <c r="AS14" s="146" t="str">
        <f ca="1">RESULTADOS!W31</f>
        <v/>
      </c>
      <c r="AT14" s="146" t="str">
        <f ca="1">RESULTADOS!X31</f>
        <v/>
      </c>
      <c r="AU14" s="146" t="str">
        <f ca="1">RESULTADOS!Y31</f>
        <v/>
      </c>
      <c r="AV14" s="146" t="str">
        <f ca="1">RESULTADOS!Z31</f>
        <v/>
      </c>
      <c r="AW14" s="146" t="str">
        <f ca="1">RESULTADOS!AA31</f>
        <v/>
      </c>
      <c r="AX14" s="146" t="str">
        <f ca="1">RESULTADOS!AB31</f>
        <v/>
      </c>
      <c r="AY14" s="146" t="str">
        <f ca="1">RESULTADOS!AC31</f>
        <v/>
      </c>
      <c r="AZ14" s="146" t="str">
        <f ca="1">RESULTADOS!AD31</f>
        <v/>
      </c>
      <c r="BA14" s="146" t="str">
        <f ca="1">RESULTADOS!AE31</f>
        <v/>
      </c>
      <c r="BB14" s="146" t="str">
        <f ca="1">RESULTADOS!AF31</f>
        <v/>
      </c>
      <c r="BC14" s="146" t="str">
        <f ca="1">RESULTADOS!AG31</f>
        <v/>
      </c>
      <c r="BD14" s="146" t="str">
        <f ca="1">RESULTADOS!AH31</f>
        <v/>
      </c>
      <c r="BE14" s="146" t="str">
        <f ca="1">RESULTADOS!AI31</f>
        <v/>
      </c>
      <c r="BF14" s="146" t="str">
        <f ca="1">RESULTADOS!AJ31</f>
        <v/>
      </c>
      <c r="BG14" s="146" t="str">
        <f ca="1">RESULTADOS!AK31</f>
        <v/>
      </c>
      <c r="BH14" s="146" t="str">
        <f ca="1">RESULTADOS!AL31</f>
        <v/>
      </c>
      <c r="BI14" s="146" t="str">
        <f ca="1">RESULTADOS!AM31</f>
        <v/>
      </c>
      <c r="BJ14" s="146" t="str">
        <f ca="1">RESULTADOS!AN31</f>
        <v/>
      </c>
      <c r="BK14" s="146" t="str">
        <f ca="1">RESULTADOS!AO31</f>
        <v/>
      </c>
      <c r="BL14" s="146" t="str">
        <f ca="1">RESULTADOS!AP31</f>
        <v/>
      </c>
      <c r="BM14" s="146" t="str">
        <f ca="1">RESULTADOS!AQ31</f>
        <v/>
      </c>
      <c r="BN14" s="146" t="str">
        <f ca="1">RESULTADOS!AR31</f>
        <v/>
      </c>
      <c r="BO14" s="146" t="str">
        <f ca="1">RESULTADOS!AS31</f>
        <v/>
      </c>
      <c r="BP14" s="146" t="str">
        <f ca="1">RESULTADOS!AT31</f>
        <v/>
      </c>
      <c r="BQ14" s="146" t="str">
        <f ca="1">RESULTADOS!AU31</f>
        <v/>
      </c>
      <c r="BR14" s="146" t="str">
        <f ca="1">RESULTADOS!AV31</f>
        <v/>
      </c>
      <c r="BS14" s="146" t="str">
        <f ca="1">RESULTADOS!AW31</f>
        <v/>
      </c>
      <c r="BT14" s="146" t="str">
        <f ca="1">RESULTADOS!AX31</f>
        <v/>
      </c>
      <c r="BU14" s="146" t="str">
        <f ca="1">RESULTADOS!AY31</f>
        <v/>
      </c>
      <c r="BV14" s="146" t="str">
        <f ca="1">RESULTADOS!AZ31</f>
        <v/>
      </c>
      <c r="BW14" s="146" t="str">
        <f ca="1">RESULTADOS!BA31</f>
        <v/>
      </c>
      <c r="BX14" s="146" t="str">
        <f ca="1">RESULTADOS!BB31</f>
        <v/>
      </c>
      <c r="BY14" s="146" t="str">
        <f ca="1">RESULTADOS!BC31</f>
        <v/>
      </c>
      <c r="BZ14" s="146" t="str">
        <f ca="1">RESULTADOS!BD31</f>
        <v/>
      </c>
      <c r="CA14" s="146" t="str">
        <f ca="1">RESULTADOS!BE31</f>
        <v/>
      </c>
      <c r="CB14" s="146" t="str">
        <f ca="1">RESULTADOS!BF31</f>
        <v/>
      </c>
      <c r="CC14" s="146" t="str">
        <f ca="1">RESULTADOS!BG31</f>
        <v/>
      </c>
      <c r="CD14" s="146" t="str">
        <f ca="1">RESULTADOS!BH31</f>
        <v/>
      </c>
      <c r="CE14" s="146" t="str">
        <f ca="1">RESULTADOS!BI31</f>
        <v/>
      </c>
      <c r="CF14" s="146" t="str">
        <f ca="1">RESULTADOS!BJ31</f>
        <v/>
      </c>
      <c r="CG14" s="146" t="str">
        <f ca="1">RESULTADOS!BK31</f>
        <v/>
      </c>
      <c r="CH14" s="146" t="str">
        <f ca="1">RESULTADOS!BL31</f>
        <v/>
      </c>
      <c r="CI14" s="146" t="str">
        <f ca="1">RESULTADOS!BM31</f>
        <v/>
      </c>
      <c r="CJ14" s="146" t="str">
        <f ca="1">RESULTADOS!BN31</f>
        <v/>
      </c>
      <c r="CK14" s="146" t="str">
        <f ca="1">RESULTADOS!BO31</f>
        <v/>
      </c>
      <c r="CL14" s="146" t="str">
        <f ca="1">RESULTADOS!BP31</f>
        <v/>
      </c>
      <c r="CM14" s="146" t="str">
        <f ca="1">RESULTADOS!BQ31</f>
        <v/>
      </c>
      <c r="CN14" s="146" t="str">
        <f ca="1">RESULTADOS!BR31</f>
        <v/>
      </c>
      <c r="CO14" s="146" t="str">
        <f ca="1">RESULTADOS!BS31</f>
        <v/>
      </c>
      <c r="CP14" s="146" t="str">
        <f ca="1">RESULTADOS!BT31</f>
        <v/>
      </c>
      <c r="CQ14" s="146" t="str">
        <f ca="1">RESULTADOS!BU31</f>
        <v/>
      </c>
      <c r="CR14" s="146" t="str">
        <f ca="1">RESULTADOS!BV31</f>
        <v/>
      </c>
      <c r="CS14" s="146" t="str">
        <f ca="1">RESULTADOS!BW31</f>
        <v/>
      </c>
      <c r="CT14" s="146" t="str">
        <f ca="1">RESULTADOS!BX31</f>
        <v/>
      </c>
      <c r="CU14" s="146" t="str">
        <f ca="1">RESULTADOS!BY31</f>
        <v/>
      </c>
      <c r="CV14" s="146" t="str">
        <f ca="1">RESULTADOS!BZ31</f>
        <v/>
      </c>
      <c r="CW14" s="146" t="str">
        <f ca="1">RESULTADOS!CA31</f>
        <v/>
      </c>
      <c r="CX14" s="146" t="str">
        <f ca="1">RESULTADOS!CB31</f>
        <v/>
      </c>
      <c r="CY14" s="146" t="str">
        <f ca="1">RESULTADOS!CC31</f>
        <v/>
      </c>
      <c r="CZ14" s="146" t="str">
        <f ca="1">RESULTADOS!CD31</f>
        <v/>
      </c>
      <c r="DA14" s="146" t="str">
        <f ca="1">RESULTADOS!CE31</f>
        <v/>
      </c>
      <c r="DB14" s="146" t="str">
        <f ca="1">RESULTADOS!CF31</f>
        <v/>
      </c>
      <c r="DC14" s="146" t="str">
        <f ca="1">RESULTADOS!CG31</f>
        <v/>
      </c>
      <c r="DD14" s="146" t="str">
        <f ca="1">RESULTADOS!CH31</f>
        <v/>
      </c>
      <c r="DE14" s="146" t="str">
        <f ca="1">RESULTADOS!CI31</f>
        <v/>
      </c>
      <c r="DF14" s="146" t="str">
        <f ca="1">RESULTADOS!CJ31</f>
        <v/>
      </c>
      <c r="DG14" s="146" t="str">
        <f ca="1">RESULTADOS!CK31</f>
        <v/>
      </c>
      <c r="DH14" s="146" t="str">
        <f ca="1">RESULTADOS!CL31</f>
        <v/>
      </c>
      <c r="DI14" s="146" t="str">
        <f ca="1">RESULTADOS!CM31</f>
        <v/>
      </c>
      <c r="DJ14" s="146" t="str">
        <f ca="1">RESULTADOS!CN31</f>
        <v/>
      </c>
      <c r="DK14" s="146" t="str">
        <f ca="1">RESULTADOS!CO31</f>
        <v/>
      </c>
      <c r="DL14" s="146" t="str">
        <f ca="1">RESULTADOS!CP31</f>
        <v/>
      </c>
      <c r="DM14" s="146" t="str">
        <f ca="1">RESULTADOS!CQ31</f>
        <v/>
      </c>
      <c r="DN14" s="146" t="str">
        <f ca="1">RESULTADOS!CR31</f>
        <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ht="13">
      <c r="C15" s="144" t="s">
        <v>142</v>
      </c>
      <c r="D15" s="147" t="str">
        <f>'01.Definición de ámbito'!C39</f>
        <v>UNE-EN 301 549:2022 - excluyendo el contenido excluido por el RD 1112/2018</v>
      </c>
      <c r="E15" s="144" t="s">
        <v>304</v>
      </c>
      <c r="F15" s="147" t="str">
        <f>'02.Tecnologías'!I12</f>
        <v>No</v>
      </c>
      <c r="G15" s="205"/>
      <c r="H15" s="205"/>
      <c r="I15" s="205"/>
      <c r="J15" s="205"/>
      <c r="T15" s="148" t="str">
        <f>RESULTADOS!B32</f>
        <v/>
      </c>
      <c r="U15" s="148" t="str">
        <f>RESULTADOS!C32</f>
        <v/>
      </c>
      <c r="V15" s="148" t="str">
        <f t="shared" si="0"/>
        <v/>
      </c>
      <c r="W15" s="148" t="str">
        <v/>
      </c>
      <c r="X15" s="148" t="str">
        <f>RESULTADOS!D32</f>
        <v/>
      </c>
      <c r="Y15" s="148" t="str">
        <v/>
      </c>
      <c r="Z15" s="237" t="str">
        <v/>
      </c>
      <c r="AA15" s="146" t="str">
        <f ca="1">RESULTADOS!E32</f>
        <v/>
      </c>
      <c r="AB15" s="146" t="str">
        <f ca="1">RESULTADOS!F32</f>
        <v/>
      </c>
      <c r="AC15" s="146" t="str">
        <f ca="1">RESULTADOS!G32</f>
        <v/>
      </c>
      <c r="AD15" s="146" t="str">
        <f ca="1">RESULTADOS!H32</f>
        <v/>
      </c>
      <c r="AE15" s="146" t="str">
        <f ca="1">RESULTADOS!I32</f>
        <v/>
      </c>
      <c r="AF15" s="146" t="str">
        <f ca="1">RESULTADOS!J32</f>
        <v/>
      </c>
      <c r="AG15" s="146" t="str">
        <f ca="1">RESULTADOS!K32</f>
        <v/>
      </c>
      <c r="AH15" s="146" t="str">
        <f ca="1">RESULTADOS!L32</f>
        <v/>
      </c>
      <c r="AI15" s="146" t="str">
        <f ca="1">RESULTADOS!M32</f>
        <v/>
      </c>
      <c r="AJ15" s="146" t="str">
        <f ca="1">RESULTADOS!N32</f>
        <v/>
      </c>
      <c r="AK15" s="146" t="str">
        <f ca="1">RESULTADOS!O32</f>
        <v/>
      </c>
      <c r="AL15" s="146" t="str">
        <f ca="1">RESULTADOS!P32</f>
        <v/>
      </c>
      <c r="AM15" s="146" t="str">
        <f ca="1">RESULTADOS!Q32</f>
        <v/>
      </c>
      <c r="AN15" s="146" t="str">
        <f ca="1">RESULTADOS!R32</f>
        <v/>
      </c>
      <c r="AO15" s="146" t="str">
        <f ca="1">RESULTADOS!S32</f>
        <v/>
      </c>
      <c r="AP15" s="146" t="str">
        <f ca="1">RESULTADOS!T32</f>
        <v/>
      </c>
      <c r="AQ15" s="146" t="str">
        <f ca="1">RESULTADOS!U32</f>
        <v/>
      </c>
      <c r="AR15" s="146" t="str">
        <f ca="1">RESULTADOS!V32</f>
        <v/>
      </c>
      <c r="AS15" s="146" t="str">
        <f ca="1">RESULTADOS!W32</f>
        <v/>
      </c>
      <c r="AT15" s="146" t="str">
        <f ca="1">RESULTADOS!X32</f>
        <v/>
      </c>
      <c r="AU15" s="146" t="str">
        <f ca="1">RESULTADOS!Y32</f>
        <v/>
      </c>
      <c r="AV15" s="146" t="str">
        <f ca="1">RESULTADOS!Z32</f>
        <v/>
      </c>
      <c r="AW15" s="146" t="str">
        <f ca="1">RESULTADOS!AA32</f>
        <v/>
      </c>
      <c r="AX15" s="146" t="str">
        <f ca="1">RESULTADOS!AB32</f>
        <v/>
      </c>
      <c r="AY15" s="146" t="str">
        <f ca="1">RESULTADOS!AC32</f>
        <v/>
      </c>
      <c r="AZ15" s="146" t="str">
        <f ca="1">RESULTADOS!AD32</f>
        <v/>
      </c>
      <c r="BA15" s="146" t="str">
        <f ca="1">RESULTADOS!AE32</f>
        <v/>
      </c>
      <c r="BB15" s="146" t="str">
        <f ca="1">RESULTADOS!AF32</f>
        <v/>
      </c>
      <c r="BC15" s="146" t="str">
        <f ca="1">RESULTADOS!AG32</f>
        <v/>
      </c>
      <c r="BD15" s="146" t="str">
        <f ca="1">RESULTADOS!AH32</f>
        <v/>
      </c>
      <c r="BE15" s="146" t="str">
        <f ca="1">RESULTADOS!AI32</f>
        <v/>
      </c>
      <c r="BF15" s="146" t="str">
        <f ca="1">RESULTADOS!AJ32</f>
        <v/>
      </c>
      <c r="BG15" s="146" t="str">
        <f ca="1">RESULTADOS!AK32</f>
        <v/>
      </c>
      <c r="BH15" s="146" t="str">
        <f ca="1">RESULTADOS!AL32</f>
        <v/>
      </c>
      <c r="BI15" s="146" t="str">
        <f ca="1">RESULTADOS!AM32</f>
        <v/>
      </c>
      <c r="BJ15" s="146" t="str">
        <f ca="1">RESULTADOS!AN32</f>
        <v/>
      </c>
      <c r="BK15" s="146" t="str">
        <f ca="1">RESULTADOS!AO32</f>
        <v/>
      </c>
      <c r="BL15" s="146" t="str">
        <f ca="1">RESULTADOS!AP32</f>
        <v/>
      </c>
      <c r="BM15" s="146" t="str">
        <f ca="1">RESULTADOS!AQ32</f>
        <v/>
      </c>
      <c r="BN15" s="146" t="str">
        <f ca="1">RESULTADOS!AR32</f>
        <v/>
      </c>
      <c r="BO15" s="146" t="str">
        <f ca="1">RESULTADOS!AS32</f>
        <v/>
      </c>
      <c r="BP15" s="146" t="str">
        <f ca="1">RESULTADOS!AT32</f>
        <v/>
      </c>
      <c r="BQ15" s="146" t="str">
        <f ca="1">RESULTADOS!AU32</f>
        <v/>
      </c>
      <c r="BR15" s="146" t="str">
        <f ca="1">RESULTADOS!AV32</f>
        <v/>
      </c>
      <c r="BS15" s="146" t="str">
        <f ca="1">RESULTADOS!AW32</f>
        <v/>
      </c>
      <c r="BT15" s="146" t="str">
        <f ca="1">RESULTADOS!AX32</f>
        <v/>
      </c>
      <c r="BU15" s="146" t="str">
        <f ca="1">RESULTADOS!AY32</f>
        <v/>
      </c>
      <c r="BV15" s="146" t="str">
        <f ca="1">RESULTADOS!AZ32</f>
        <v/>
      </c>
      <c r="BW15" s="146" t="str">
        <f ca="1">RESULTADOS!BA32</f>
        <v/>
      </c>
      <c r="BX15" s="146" t="str">
        <f ca="1">RESULTADOS!BB32</f>
        <v/>
      </c>
      <c r="BY15" s="146" t="str">
        <f ca="1">RESULTADOS!BC32</f>
        <v/>
      </c>
      <c r="BZ15" s="146" t="str">
        <f ca="1">RESULTADOS!BD32</f>
        <v/>
      </c>
      <c r="CA15" s="146" t="str">
        <f ca="1">RESULTADOS!BE32</f>
        <v/>
      </c>
      <c r="CB15" s="146" t="str">
        <f ca="1">RESULTADOS!BF32</f>
        <v/>
      </c>
      <c r="CC15" s="146" t="str">
        <f ca="1">RESULTADOS!BG32</f>
        <v/>
      </c>
      <c r="CD15" s="146" t="str">
        <f ca="1">RESULTADOS!BH32</f>
        <v/>
      </c>
      <c r="CE15" s="146" t="str">
        <f ca="1">RESULTADOS!BI32</f>
        <v/>
      </c>
      <c r="CF15" s="146" t="str">
        <f ca="1">RESULTADOS!BJ32</f>
        <v/>
      </c>
      <c r="CG15" s="146" t="str">
        <f ca="1">RESULTADOS!BK32</f>
        <v/>
      </c>
      <c r="CH15" s="146" t="str">
        <f ca="1">RESULTADOS!BL32</f>
        <v/>
      </c>
      <c r="CI15" s="146" t="str">
        <f ca="1">RESULTADOS!BM32</f>
        <v/>
      </c>
      <c r="CJ15" s="146" t="str">
        <f ca="1">RESULTADOS!BN32</f>
        <v/>
      </c>
      <c r="CK15" s="146" t="str">
        <f ca="1">RESULTADOS!BO32</f>
        <v/>
      </c>
      <c r="CL15" s="146" t="str">
        <f ca="1">RESULTADOS!BP32</f>
        <v/>
      </c>
      <c r="CM15" s="146" t="str">
        <f ca="1">RESULTADOS!BQ32</f>
        <v/>
      </c>
      <c r="CN15" s="146" t="str">
        <f ca="1">RESULTADOS!BR32</f>
        <v/>
      </c>
      <c r="CO15" s="146" t="str">
        <f ca="1">RESULTADOS!BS32</f>
        <v/>
      </c>
      <c r="CP15" s="146" t="str">
        <f ca="1">RESULTADOS!BT32</f>
        <v/>
      </c>
      <c r="CQ15" s="146" t="str">
        <f ca="1">RESULTADOS!BU32</f>
        <v/>
      </c>
      <c r="CR15" s="146" t="str">
        <f ca="1">RESULTADOS!BV32</f>
        <v/>
      </c>
      <c r="CS15" s="146" t="str">
        <f ca="1">RESULTADOS!BW32</f>
        <v/>
      </c>
      <c r="CT15" s="146" t="str">
        <f ca="1">RESULTADOS!BX32</f>
        <v/>
      </c>
      <c r="CU15" s="146" t="str">
        <f ca="1">RESULTADOS!BY32</f>
        <v/>
      </c>
      <c r="CV15" s="146" t="str">
        <f ca="1">RESULTADOS!BZ32</f>
        <v/>
      </c>
      <c r="CW15" s="146" t="str">
        <f ca="1">RESULTADOS!CA32</f>
        <v/>
      </c>
      <c r="CX15" s="146" t="str">
        <f ca="1">RESULTADOS!CB32</f>
        <v/>
      </c>
      <c r="CY15" s="146" t="str">
        <f ca="1">RESULTADOS!CC32</f>
        <v/>
      </c>
      <c r="CZ15" s="146" t="str">
        <f ca="1">RESULTADOS!CD32</f>
        <v/>
      </c>
      <c r="DA15" s="146" t="str">
        <f ca="1">RESULTADOS!CE32</f>
        <v/>
      </c>
      <c r="DB15" s="146" t="str">
        <f ca="1">RESULTADOS!CF32</f>
        <v/>
      </c>
      <c r="DC15" s="146" t="str">
        <f ca="1">RESULTADOS!CG32</f>
        <v/>
      </c>
      <c r="DD15" s="146" t="str">
        <f ca="1">RESULTADOS!CH32</f>
        <v/>
      </c>
      <c r="DE15" s="146" t="str">
        <f ca="1">RESULTADOS!CI32</f>
        <v/>
      </c>
      <c r="DF15" s="146" t="str">
        <f ca="1">RESULTADOS!CJ32</f>
        <v/>
      </c>
      <c r="DG15" s="146" t="str">
        <f ca="1">RESULTADOS!CK32</f>
        <v/>
      </c>
      <c r="DH15" s="146" t="str">
        <f ca="1">RESULTADOS!CL32</f>
        <v/>
      </c>
      <c r="DI15" s="146" t="str">
        <f ca="1">RESULTADOS!CM32</f>
        <v/>
      </c>
      <c r="DJ15" s="146" t="str">
        <f ca="1">RESULTADOS!CN32</f>
        <v/>
      </c>
      <c r="DK15" s="146" t="str">
        <f ca="1">RESULTADOS!CO32</f>
        <v/>
      </c>
      <c r="DL15" s="146" t="str">
        <f ca="1">RESULTADOS!CP32</f>
        <v/>
      </c>
      <c r="DM15" s="146" t="str">
        <f ca="1">RESULTADOS!CQ32</f>
        <v/>
      </c>
      <c r="DN15" s="146" t="str">
        <f ca="1">RESULTADOS!CR32</f>
        <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ht="13">
      <c r="C16" s="144" t="s">
        <v>143</v>
      </c>
      <c r="D16" s="147" t="str">
        <f>'01.Definición de ámbito'!C41</f>
        <v>Equipo: Intel(R) Core(TM) i7-6700HQ CPU @ 2.60GHz   2.60 GHz, 
RAM: 16,0 GB
Sistema Operativo: Windows 10 Enterprise
Navegador: Google Chrome Versión Versión 114.0.5735.199 (Build oficial) (64 bits)
Herramientas utilizadas: Tawdis, LightHouse, Wave, Color Contrast Analyzer, Headings map, Screen reader, https://validator.w3.org/nu/</v>
      </c>
      <c r="F16" s="205"/>
      <c r="G16" s="205"/>
      <c r="H16" s="205"/>
      <c r="I16" s="205"/>
      <c r="J16" s="205"/>
      <c r="T16" s="148" t="str">
        <f>RESULTADOS!B33</f>
        <v/>
      </c>
      <c r="U16" s="148" t="str">
        <f>RESULTADOS!C33</f>
        <v/>
      </c>
      <c r="V16" s="148" t="str">
        <f t="shared" si="0"/>
        <v/>
      </c>
      <c r="W16" s="148" t="str">
        <v/>
      </c>
      <c r="X16" s="148" t="str">
        <f>RESULTADOS!D33</f>
        <v/>
      </c>
      <c r="Y16" s="148" t="str">
        <v/>
      </c>
      <c r="Z16" s="237" t="str">
        <v/>
      </c>
      <c r="AA16" s="146" t="str">
        <f ca="1">RESULTADOS!E33</f>
        <v/>
      </c>
      <c r="AB16" s="146" t="str">
        <f ca="1">RESULTADOS!F33</f>
        <v/>
      </c>
      <c r="AC16" s="146" t="str">
        <f ca="1">RESULTADOS!G33</f>
        <v/>
      </c>
      <c r="AD16" s="146" t="str">
        <f ca="1">RESULTADOS!H33</f>
        <v/>
      </c>
      <c r="AE16" s="146" t="str">
        <f ca="1">RESULTADOS!I33</f>
        <v/>
      </c>
      <c r="AF16" s="146" t="str">
        <f ca="1">RESULTADOS!J33</f>
        <v/>
      </c>
      <c r="AG16" s="146" t="str">
        <f ca="1">RESULTADOS!K33</f>
        <v/>
      </c>
      <c r="AH16" s="146" t="str">
        <f ca="1">RESULTADOS!L33</f>
        <v/>
      </c>
      <c r="AI16" s="146" t="str">
        <f ca="1">RESULTADOS!M33</f>
        <v/>
      </c>
      <c r="AJ16" s="146" t="str">
        <f ca="1">RESULTADOS!N33</f>
        <v/>
      </c>
      <c r="AK16" s="146" t="str">
        <f ca="1">RESULTADOS!O33</f>
        <v/>
      </c>
      <c r="AL16" s="146" t="str">
        <f ca="1">RESULTADOS!P33</f>
        <v/>
      </c>
      <c r="AM16" s="146" t="str">
        <f ca="1">RESULTADOS!Q33</f>
        <v/>
      </c>
      <c r="AN16" s="146" t="str">
        <f ca="1">RESULTADOS!R33</f>
        <v/>
      </c>
      <c r="AO16" s="146" t="str">
        <f ca="1">RESULTADOS!S33</f>
        <v/>
      </c>
      <c r="AP16" s="146" t="str">
        <f ca="1">RESULTADOS!T33</f>
        <v/>
      </c>
      <c r="AQ16" s="146" t="str">
        <f ca="1">RESULTADOS!U33</f>
        <v/>
      </c>
      <c r="AR16" s="146" t="str">
        <f ca="1">RESULTADOS!V33</f>
        <v/>
      </c>
      <c r="AS16" s="146" t="str">
        <f ca="1">RESULTADOS!W33</f>
        <v/>
      </c>
      <c r="AT16" s="146" t="str">
        <f ca="1">RESULTADOS!X33</f>
        <v/>
      </c>
      <c r="AU16" s="146" t="str">
        <f ca="1">RESULTADOS!Y33</f>
        <v/>
      </c>
      <c r="AV16" s="146" t="str">
        <f ca="1">RESULTADOS!Z33</f>
        <v/>
      </c>
      <c r="AW16" s="146" t="str">
        <f ca="1">RESULTADOS!AA33</f>
        <v/>
      </c>
      <c r="AX16" s="146" t="str">
        <f ca="1">RESULTADOS!AB33</f>
        <v/>
      </c>
      <c r="AY16" s="146" t="str">
        <f ca="1">RESULTADOS!AC33</f>
        <v/>
      </c>
      <c r="AZ16" s="146" t="str">
        <f ca="1">RESULTADOS!AD33</f>
        <v/>
      </c>
      <c r="BA16" s="146" t="str">
        <f ca="1">RESULTADOS!AE33</f>
        <v/>
      </c>
      <c r="BB16" s="146" t="str">
        <f ca="1">RESULTADOS!AF33</f>
        <v/>
      </c>
      <c r="BC16" s="146" t="str">
        <f ca="1">RESULTADOS!AG33</f>
        <v/>
      </c>
      <c r="BD16" s="146" t="str">
        <f ca="1">RESULTADOS!AH33</f>
        <v/>
      </c>
      <c r="BE16" s="146" t="str">
        <f ca="1">RESULTADOS!AI33</f>
        <v/>
      </c>
      <c r="BF16" s="146" t="str">
        <f ca="1">RESULTADOS!AJ33</f>
        <v/>
      </c>
      <c r="BG16" s="146" t="str">
        <f ca="1">RESULTADOS!AK33</f>
        <v/>
      </c>
      <c r="BH16" s="146" t="str">
        <f ca="1">RESULTADOS!AL33</f>
        <v/>
      </c>
      <c r="BI16" s="146" t="str">
        <f ca="1">RESULTADOS!AM33</f>
        <v/>
      </c>
      <c r="BJ16" s="146" t="str">
        <f ca="1">RESULTADOS!AN33</f>
        <v/>
      </c>
      <c r="BK16" s="146" t="str">
        <f ca="1">RESULTADOS!AO33</f>
        <v/>
      </c>
      <c r="BL16" s="146" t="str">
        <f ca="1">RESULTADOS!AP33</f>
        <v/>
      </c>
      <c r="BM16" s="146" t="str">
        <f ca="1">RESULTADOS!AQ33</f>
        <v/>
      </c>
      <c r="BN16" s="146" t="str">
        <f ca="1">RESULTADOS!AR33</f>
        <v/>
      </c>
      <c r="BO16" s="146" t="str">
        <f ca="1">RESULTADOS!AS33</f>
        <v/>
      </c>
      <c r="BP16" s="146" t="str">
        <f ca="1">RESULTADOS!AT33</f>
        <v/>
      </c>
      <c r="BQ16" s="146" t="str">
        <f ca="1">RESULTADOS!AU33</f>
        <v/>
      </c>
      <c r="BR16" s="146" t="str">
        <f ca="1">RESULTADOS!AV33</f>
        <v/>
      </c>
      <c r="BS16" s="146" t="str">
        <f ca="1">RESULTADOS!AW33</f>
        <v/>
      </c>
      <c r="BT16" s="146" t="str">
        <f ca="1">RESULTADOS!AX33</f>
        <v/>
      </c>
      <c r="BU16" s="146" t="str">
        <f ca="1">RESULTADOS!AY33</f>
        <v/>
      </c>
      <c r="BV16" s="146" t="str">
        <f ca="1">RESULTADOS!AZ33</f>
        <v/>
      </c>
      <c r="BW16" s="146" t="str">
        <f ca="1">RESULTADOS!BA33</f>
        <v/>
      </c>
      <c r="BX16" s="146" t="str">
        <f ca="1">RESULTADOS!BB33</f>
        <v/>
      </c>
      <c r="BY16" s="146" t="str">
        <f ca="1">RESULTADOS!BC33</f>
        <v/>
      </c>
      <c r="BZ16" s="146" t="str">
        <f ca="1">RESULTADOS!BD33</f>
        <v/>
      </c>
      <c r="CA16" s="146" t="str">
        <f ca="1">RESULTADOS!BE33</f>
        <v/>
      </c>
      <c r="CB16" s="146" t="str">
        <f ca="1">RESULTADOS!BF33</f>
        <v/>
      </c>
      <c r="CC16" s="146" t="str">
        <f ca="1">RESULTADOS!BG33</f>
        <v/>
      </c>
      <c r="CD16" s="146" t="str">
        <f ca="1">RESULTADOS!BH33</f>
        <v/>
      </c>
      <c r="CE16" s="146" t="str">
        <f ca="1">RESULTADOS!BI33</f>
        <v/>
      </c>
      <c r="CF16" s="146" t="str">
        <f ca="1">RESULTADOS!BJ33</f>
        <v/>
      </c>
      <c r="CG16" s="146" t="str">
        <f ca="1">RESULTADOS!BK33</f>
        <v/>
      </c>
      <c r="CH16" s="146" t="str">
        <f ca="1">RESULTADOS!BL33</f>
        <v/>
      </c>
      <c r="CI16" s="146" t="str">
        <f ca="1">RESULTADOS!BM33</f>
        <v/>
      </c>
      <c r="CJ16" s="146" t="str">
        <f ca="1">RESULTADOS!BN33</f>
        <v/>
      </c>
      <c r="CK16" s="146" t="str">
        <f ca="1">RESULTADOS!BO33</f>
        <v/>
      </c>
      <c r="CL16" s="146" t="str">
        <f ca="1">RESULTADOS!BP33</f>
        <v/>
      </c>
      <c r="CM16" s="146" t="str">
        <f ca="1">RESULTADOS!BQ33</f>
        <v/>
      </c>
      <c r="CN16" s="146" t="str">
        <f ca="1">RESULTADOS!BR33</f>
        <v/>
      </c>
      <c r="CO16" s="146" t="str">
        <f ca="1">RESULTADOS!BS33</f>
        <v/>
      </c>
      <c r="CP16" s="146" t="str">
        <f ca="1">RESULTADOS!BT33</f>
        <v/>
      </c>
      <c r="CQ16" s="146" t="str">
        <f ca="1">RESULTADOS!BU33</f>
        <v/>
      </c>
      <c r="CR16" s="146" t="str">
        <f ca="1">RESULTADOS!BV33</f>
        <v/>
      </c>
      <c r="CS16" s="146" t="str">
        <f ca="1">RESULTADOS!BW33</f>
        <v/>
      </c>
      <c r="CT16" s="146" t="str">
        <f ca="1">RESULTADOS!BX33</f>
        <v/>
      </c>
      <c r="CU16" s="146" t="str">
        <f ca="1">RESULTADOS!BY33</f>
        <v/>
      </c>
      <c r="CV16" s="146" t="str">
        <f ca="1">RESULTADOS!BZ33</f>
        <v/>
      </c>
      <c r="CW16" s="146" t="str">
        <f ca="1">RESULTADOS!CA33</f>
        <v/>
      </c>
      <c r="CX16" s="146" t="str">
        <f ca="1">RESULTADOS!CB33</f>
        <v/>
      </c>
      <c r="CY16" s="146" t="str">
        <f ca="1">RESULTADOS!CC33</f>
        <v/>
      </c>
      <c r="CZ16" s="146" t="str">
        <f ca="1">RESULTADOS!CD33</f>
        <v/>
      </c>
      <c r="DA16" s="146" t="str">
        <f ca="1">RESULTADOS!CE33</f>
        <v/>
      </c>
      <c r="DB16" s="146" t="str">
        <f ca="1">RESULTADOS!CF33</f>
        <v/>
      </c>
      <c r="DC16" s="146" t="str">
        <f ca="1">RESULTADOS!CG33</f>
        <v/>
      </c>
      <c r="DD16" s="146" t="str">
        <f ca="1">RESULTADOS!CH33</f>
        <v/>
      </c>
      <c r="DE16" s="146" t="str">
        <f ca="1">RESULTADOS!CI33</f>
        <v/>
      </c>
      <c r="DF16" s="146" t="str">
        <f ca="1">RESULTADOS!CJ33</f>
        <v/>
      </c>
      <c r="DG16" s="146" t="str">
        <f ca="1">RESULTADOS!CK33</f>
        <v/>
      </c>
      <c r="DH16" s="146" t="str">
        <f ca="1">RESULTADOS!CL33</f>
        <v/>
      </c>
      <c r="DI16" s="146" t="str">
        <f ca="1">RESULTADOS!CM33</f>
        <v/>
      </c>
      <c r="DJ16" s="146" t="str">
        <f ca="1">RESULTADOS!CN33</f>
        <v/>
      </c>
      <c r="DK16" s="146" t="str">
        <f ca="1">RESULTADOS!CO33</f>
        <v/>
      </c>
      <c r="DL16" s="146" t="str">
        <f ca="1">RESULTADOS!CP33</f>
        <v/>
      </c>
      <c r="DM16" s="146" t="str">
        <f ca="1">RESULTADOS!CQ33</f>
        <v/>
      </c>
      <c r="DN16" s="146" t="str">
        <f ca="1">RESULTADOS!CR33</f>
        <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ht="13">
      <c r="C17" s="144" t="s">
        <v>144</v>
      </c>
      <c r="D17" s="147">
        <f>'01.Definición de ámbito'!C45</f>
        <v>0</v>
      </c>
      <c r="K17" s="40" t="s">
        <v>138</v>
      </c>
      <c r="T17" s="148" t="str">
        <f>RESULTADOS!B34</f>
        <v/>
      </c>
      <c r="U17" s="148" t="str">
        <f>RESULTADOS!C34</f>
        <v/>
      </c>
      <c r="V17" s="148" t="str">
        <f t="shared" si="0"/>
        <v/>
      </c>
      <c r="W17" s="148" t="str">
        <v/>
      </c>
      <c r="X17" s="148" t="str">
        <f>RESULTADOS!D34</f>
        <v/>
      </c>
      <c r="Y17" s="148" t="str">
        <v/>
      </c>
      <c r="Z17" s="237" t="str">
        <v/>
      </c>
      <c r="AA17" s="146" t="str">
        <f ca="1">RESULTADOS!E34</f>
        <v/>
      </c>
      <c r="AB17" s="146" t="str">
        <f ca="1">RESULTADOS!F34</f>
        <v/>
      </c>
      <c r="AC17" s="146" t="str">
        <f ca="1">RESULTADOS!G34</f>
        <v/>
      </c>
      <c r="AD17" s="146" t="str">
        <f ca="1">RESULTADOS!H34</f>
        <v/>
      </c>
      <c r="AE17" s="146" t="str">
        <f ca="1">RESULTADOS!I34</f>
        <v/>
      </c>
      <c r="AF17" s="146" t="str">
        <f ca="1">RESULTADOS!J34</f>
        <v/>
      </c>
      <c r="AG17" s="146" t="str">
        <f ca="1">RESULTADOS!K34</f>
        <v/>
      </c>
      <c r="AH17" s="146" t="str">
        <f ca="1">RESULTADOS!L34</f>
        <v/>
      </c>
      <c r="AI17" s="146" t="str">
        <f ca="1">RESULTADOS!M34</f>
        <v/>
      </c>
      <c r="AJ17" s="146" t="str">
        <f ca="1">RESULTADOS!N34</f>
        <v/>
      </c>
      <c r="AK17" s="146" t="str">
        <f ca="1">RESULTADOS!O34</f>
        <v/>
      </c>
      <c r="AL17" s="146" t="str">
        <f ca="1">RESULTADOS!P34</f>
        <v/>
      </c>
      <c r="AM17" s="146" t="str">
        <f ca="1">RESULTADOS!Q34</f>
        <v/>
      </c>
      <c r="AN17" s="146" t="str">
        <f ca="1">RESULTADOS!R34</f>
        <v/>
      </c>
      <c r="AO17" s="146" t="str">
        <f ca="1">RESULTADOS!S34</f>
        <v/>
      </c>
      <c r="AP17" s="146" t="str">
        <f ca="1">RESULTADOS!T34</f>
        <v/>
      </c>
      <c r="AQ17" s="146" t="str">
        <f ca="1">RESULTADOS!U34</f>
        <v/>
      </c>
      <c r="AR17" s="146" t="str">
        <f ca="1">RESULTADOS!V34</f>
        <v/>
      </c>
      <c r="AS17" s="146" t="str">
        <f ca="1">RESULTADOS!W34</f>
        <v/>
      </c>
      <c r="AT17" s="146" t="str">
        <f ca="1">RESULTADOS!X34</f>
        <v/>
      </c>
      <c r="AU17" s="146" t="str">
        <f ca="1">RESULTADOS!Y34</f>
        <v/>
      </c>
      <c r="AV17" s="146" t="str">
        <f ca="1">RESULTADOS!Z34</f>
        <v/>
      </c>
      <c r="AW17" s="146" t="str">
        <f ca="1">RESULTADOS!AA34</f>
        <v/>
      </c>
      <c r="AX17" s="146" t="str">
        <f ca="1">RESULTADOS!AB34</f>
        <v/>
      </c>
      <c r="AY17" s="146" t="str">
        <f ca="1">RESULTADOS!AC34</f>
        <v/>
      </c>
      <c r="AZ17" s="146" t="str">
        <f ca="1">RESULTADOS!AD34</f>
        <v/>
      </c>
      <c r="BA17" s="146" t="str">
        <f ca="1">RESULTADOS!AE34</f>
        <v/>
      </c>
      <c r="BB17" s="146" t="str">
        <f ca="1">RESULTADOS!AF34</f>
        <v/>
      </c>
      <c r="BC17" s="146" t="str">
        <f ca="1">RESULTADOS!AG34</f>
        <v/>
      </c>
      <c r="BD17" s="146" t="str">
        <f ca="1">RESULTADOS!AH34</f>
        <v/>
      </c>
      <c r="BE17" s="146" t="str">
        <f ca="1">RESULTADOS!AI34</f>
        <v/>
      </c>
      <c r="BF17" s="146" t="str">
        <f ca="1">RESULTADOS!AJ34</f>
        <v/>
      </c>
      <c r="BG17" s="146" t="str">
        <f ca="1">RESULTADOS!AK34</f>
        <v/>
      </c>
      <c r="BH17" s="146" t="str">
        <f ca="1">RESULTADOS!AL34</f>
        <v/>
      </c>
      <c r="BI17" s="146" t="str">
        <f ca="1">RESULTADOS!AM34</f>
        <v/>
      </c>
      <c r="BJ17" s="146" t="str">
        <f ca="1">RESULTADOS!AN34</f>
        <v/>
      </c>
      <c r="BK17" s="146" t="str">
        <f ca="1">RESULTADOS!AO34</f>
        <v/>
      </c>
      <c r="BL17" s="146" t="str">
        <f ca="1">RESULTADOS!AP34</f>
        <v/>
      </c>
      <c r="BM17" s="146" t="str">
        <f ca="1">RESULTADOS!AQ34</f>
        <v/>
      </c>
      <c r="BN17" s="146" t="str">
        <f ca="1">RESULTADOS!AR34</f>
        <v/>
      </c>
      <c r="BO17" s="146" t="str">
        <f ca="1">RESULTADOS!AS34</f>
        <v/>
      </c>
      <c r="BP17" s="146" t="str">
        <f ca="1">RESULTADOS!AT34</f>
        <v/>
      </c>
      <c r="BQ17" s="146" t="str">
        <f ca="1">RESULTADOS!AU34</f>
        <v/>
      </c>
      <c r="BR17" s="146" t="str">
        <f ca="1">RESULTADOS!AV34</f>
        <v/>
      </c>
      <c r="BS17" s="146" t="str">
        <f ca="1">RESULTADOS!AW34</f>
        <v/>
      </c>
      <c r="BT17" s="146" t="str">
        <f ca="1">RESULTADOS!AX34</f>
        <v/>
      </c>
      <c r="BU17" s="146" t="str">
        <f ca="1">RESULTADOS!AY34</f>
        <v/>
      </c>
      <c r="BV17" s="146" t="str">
        <f ca="1">RESULTADOS!AZ34</f>
        <v/>
      </c>
      <c r="BW17" s="146" t="str">
        <f ca="1">RESULTADOS!BA34</f>
        <v/>
      </c>
      <c r="BX17" s="146" t="str">
        <f ca="1">RESULTADOS!BB34</f>
        <v/>
      </c>
      <c r="BY17" s="146" t="str">
        <f ca="1">RESULTADOS!BC34</f>
        <v/>
      </c>
      <c r="BZ17" s="146" t="str">
        <f ca="1">RESULTADOS!BD34</f>
        <v/>
      </c>
      <c r="CA17" s="146" t="str">
        <f ca="1">RESULTADOS!BE34</f>
        <v/>
      </c>
      <c r="CB17" s="146" t="str">
        <f ca="1">RESULTADOS!BF34</f>
        <v/>
      </c>
      <c r="CC17" s="146" t="str">
        <f ca="1">RESULTADOS!BG34</f>
        <v/>
      </c>
      <c r="CD17" s="146" t="str">
        <f ca="1">RESULTADOS!BH34</f>
        <v/>
      </c>
      <c r="CE17" s="146" t="str">
        <f ca="1">RESULTADOS!BI34</f>
        <v/>
      </c>
      <c r="CF17" s="146" t="str">
        <f ca="1">RESULTADOS!BJ34</f>
        <v/>
      </c>
      <c r="CG17" s="146" t="str">
        <f ca="1">RESULTADOS!BK34</f>
        <v/>
      </c>
      <c r="CH17" s="146" t="str">
        <f ca="1">RESULTADOS!BL34</f>
        <v/>
      </c>
      <c r="CI17" s="146" t="str">
        <f ca="1">RESULTADOS!BM34</f>
        <v/>
      </c>
      <c r="CJ17" s="146" t="str">
        <f ca="1">RESULTADOS!BN34</f>
        <v/>
      </c>
      <c r="CK17" s="146" t="str">
        <f ca="1">RESULTADOS!BO34</f>
        <v/>
      </c>
      <c r="CL17" s="146" t="str">
        <f ca="1">RESULTADOS!BP34</f>
        <v/>
      </c>
      <c r="CM17" s="146" t="str">
        <f ca="1">RESULTADOS!BQ34</f>
        <v/>
      </c>
      <c r="CN17" s="146" t="str">
        <f ca="1">RESULTADOS!BR34</f>
        <v/>
      </c>
      <c r="CO17" s="146" t="str">
        <f ca="1">RESULTADOS!BS34</f>
        <v/>
      </c>
      <c r="CP17" s="146" t="str">
        <f ca="1">RESULTADOS!BT34</f>
        <v/>
      </c>
      <c r="CQ17" s="146" t="str">
        <f ca="1">RESULTADOS!BU34</f>
        <v/>
      </c>
      <c r="CR17" s="146" t="str">
        <f ca="1">RESULTADOS!BV34</f>
        <v/>
      </c>
      <c r="CS17" s="146" t="str">
        <f ca="1">RESULTADOS!BW34</f>
        <v/>
      </c>
      <c r="CT17" s="146" t="str">
        <f ca="1">RESULTADOS!BX34</f>
        <v/>
      </c>
      <c r="CU17" s="146" t="str">
        <f ca="1">RESULTADOS!BY34</f>
        <v/>
      </c>
      <c r="CV17" s="146" t="str">
        <f ca="1">RESULTADOS!BZ34</f>
        <v/>
      </c>
      <c r="CW17" s="146" t="str">
        <f ca="1">RESULTADOS!CA34</f>
        <v/>
      </c>
      <c r="CX17" s="146" t="str">
        <f ca="1">RESULTADOS!CB34</f>
        <v/>
      </c>
      <c r="CY17" s="146" t="str">
        <f ca="1">RESULTADOS!CC34</f>
        <v/>
      </c>
      <c r="CZ17" s="146" t="str">
        <f ca="1">RESULTADOS!CD34</f>
        <v/>
      </c>
      <c r="DA17" s="146" t="str">
        <f ca="1">RESULTADOS!CE34</f>
        <v/>
      </c>
      <c r="DB17" s="146" t="str">
        <f ca="1">RESULTADOS!CF34</f>
        <v/>
      </c>
      <c r="DC17" s="146" t="str">
        <f ca="1">RESULTADOS!CG34</f>
        <v/>
      </c>
      <c r="DD17" s="146" t="str">
        <f ca="1">RESULTADOS!CH34</f>
        <v/>
      </c>
      <c r="DE17" s="146" t="str">
        <f ca="1">RESULTADOS!CI34</f>
        <v/>
      </c>
      <c r="DF17" s="146" t="str">
        <f ca="1">RESULTADOS!CJ34</f>
        <v/>
      </c>
      <c r="DG17" s="146" t="str">
        <f ca="1">RESULTADOS!CK34</f>
        <v/>
      </c>
      <c r="DH17" s="146" t="str">
        <f ca="1">RESULTADOS!CL34</f>
        <v/>
      </c>
      <c r="DI17" s="146" t="str">
        <f ca="1">RESULTADOS!CM34</f>
        <v/>
      </c>
      <c r="DJ17" s="146" t="str">
        <f ca="1">RESULTADOS!CN34</f>
        <v/>
      </c>
      <c r="DK17" s="146" t="str">
        <f ca="1">RESULTADOS!CO34</f>
        <v/>
      </c>
      <c r="DL17" s="146" t="str">
        <f ca="1">RESULTADOS!CP34</f>
        <v/>
      </c>
      <c r="DM17" s="146" t="str">
        <f ca="1">RESULTADOS!CQ34</f>
        <v/>
      </c>
      <c r="DN17" s="146" t="str">
        <f ca="1">RESULTADOS!CR34</f>
        <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ht="13">
      <c r="C18" s="144" t="s">
        <v>5</v>
      </c>
      <c r="D18" s="147" t="str">
        <f>'01.Definición de ámbito'!D48</f>
        <v>No</v>
      </c>
      <c r="K18" s="40" t="s">
        <v>26</v>
      </c>
      <c r="L18" s="148">
        <f ca="1">RESULTADOS!L8</f>
        <v>112</v>
      </c>
      <c r="M18" s="216">
        <f ca="1">RESULTADOS!M8</f>
        <v>0.24347826086956523</v>
      </c>
      <c r="T18" s="148" t="str">
        <f>RESULTADOS!B35</f>
        <v/>
      </c>
      <c r="U18" s="148" t="str">
        <f>RESULTADOS!C35</f>
        <v/>
      </c>
      <c r="V18" s="148" t="str">
        <f t="shared" si="0"/>
        <v/>
      </c>
      <c r="W18" s="148" t="str">
        <v/>
      </c>
      <c r="X18" s="148" t="str">
        <f>RESULTADOS!D35</f>
        <v/>
      </c>
      <c r="Y18" s="148" t="str">
        <v/>
      </c>
      <c r="Z18" s="237" t="str">
        <v/>
      </c>
      <c r="AA18" s="146" t="str">
        <f ca="1">RESULTADOS!E35</f>
        <v/>
      </c>
      <c r="AB18" s="146" t="str">
        <f ca="1">RESULTADOS!F35</f>
        <v/>
      </c>
      <c r="AC18" s="146" t="str">
        <f ca="1">RESULTADOS!G35</f>
        <v/>
      </c>
      <c r="AD18" s="146" t="str">
        <f ca="1">RESULTADOS!H35</f>
        <v/>
      </c>
      <c r="AE18" s="146" t="str">
        <f ca="1">RESULTADOS!I35</f>
        <v/>
      </c>
      <c r="AF18" s="146" t="str">
        <f ca="1">RESULTADOS!J35</f>
        <v/>
      </c>
      <c r="AG18" s="146" t="str">
        <f ca="1">RESULTADOS!K35</f>
        <v/>
      </c>
      <c r="AH18" s="146" t="str">
        <f ca="1">RESULTADOS!L35</f>
        <v/>
      </c>
      <c r="AI18" s="146" t="str">
        <f ca="1">RESULTADOS!M35</f>
        <v/>
      </c>
      <c r="AJ18" s="146" t="str">
        <f ca="1">RESULTADOS!N35</f>
        <v/>
      </c>
      <c r="AK18" s="146" t="str">
        <f ca="1">RESULTADOS!O35</f>
        <v/>
      </c>
      <c r="AL18" s="146" t="str">
        <f ca="1">RESULTADOS!P35</f>
        <v/>
      </c>
      <c r="AM18" s="146" t="str">
        <f ca="1">RESULTADOS!Q35</f>
        <v/>
      </c>
      <c r="AN18" s="146" t="str">
        <f ca="1">RESULTADOS!R35</f>
        <v/>
      </c>
      <c r="AO18" s="146" t="str">
        <f ca="1">RESULTADOS!S35</f>
        <v/>
      </c>
      <c r="AP18" s="146" t="str">
        <f ca="1">RESULTADOS!T35</f>
        <v/>
      </c>
      <c r="AQ18" s="146" t="str">
        <f ca="1">RESULTADOS!U35</f>
        <v/>
      </c>
      <c r="AR18" s="146" t="str">
        <f ca="1">RESULTADOS!V35</f>
        <v/>
      </c>
      <c r="AS18" s="146" t="str">
        <f ca="1">RESULTADOS!W35</f>
        <v/>
      </c>
      <c r="AT18" s="146" t="str">
        <f ca="1">RESULTADOS!X35</f>
        <v/>
      </c>
      <c r="AU18" s="146" t="str">
        <f ca="1">RESULTADOS!Y35</f>
        <v/>
      </c>
      <c r="AV18" s="146" t="str">
        <f ca="1">RESULTADOS!Z35</f>
        <v/>
      </c>
      <c r="AW18" s="146" t="str">
        <f ca="1">RESULTADOS!AA35</f>
        <v/>
      </c>
      <c r="AX18" s="146" t="str">
        <f ca="1">RESULTADOS!AB35</f>
        <v/>
      </c>
      <c r="AY18" s="146" t="str">
        <f ca="1">RESULTADOS!AC35</f>
        <v/>
      </c>
      <c r="AZ18" s="146" t="str">
        <f ca="1">RESULTADOS!AD35</f>
        <v/>
      </c>
      <c r="BA18" s="146" t="str">
        <f ca="1">RESULTADOS!AE35</f>
        <v/>
      </c>
      <c r="BB18" s="146" t="str">
        <f ca="1">RESULTADOS!AF35</f>
        <v/>
      </c>
      <c r="BC18" s="146" t="str">
        <f ca="1">RESULTADOS!AG35</f>
        <v/>
      </c>
      <c r="BD18" s="146" t="str">
        <f ca="1">RESULTADOS!AH35</f>
        <v/>
      </c>
      <c r="BE18" s="146" t="str">
        <f ca="1">RESULTADOS!AI35</f>
        <v/>
      </c>
      <c r="BF18" s="146" t="str">
        <f ca="1">RESULTADOS!AJ35</f>
        <v/>
      </c>
      <c r="BG18" s="146" t="str">
        <f ca="1">RESULTADOS!AK35</f>
        <v/>
      </c>
      <c r="BH18" s="146" t="str">
        <f ca="1">RESULTADOS!AL35</f>
        <v/>
      </c>
      <c r="BI18" s="146" t="str">
        <f ca="1">RESULTADOS!AM35</f>
        <v/>
      </c>
      <c r="BJ18" s="146" t="str">
        <f ca="1">RESULTADOS!AN35</f>
        <v/>
      </c>
      <c r="BK18" s="146" t="str">
        <f ca="1">RESULTADOS!AO35</f>
        <v/>
      </c>
      <c r="BL18" s="146" t="str">
        <f ca="1">RESULTADOS!AP35</f>
        <v/>
      </c>
      <c r="BM18" s="146" t="str">
        <f ca="1">RESULTADOS!AQ35</f>
        <v/>
      </c>
      <c r="BN18" s="146" t="str">
        <f ca="1">RESULTADOS!AR35</f>
        <v/>
      </c>
      <c r="BO18" s="146" t="str">
        <f ca="1">RESULTADOS!AS35</f>
        <v/>
      </c>
      <c r="BP18" s="146" t="str">
        <f ca="1">RESULTADOS!AT35</f>
        <v/>
      </c>
      <c r="BQ18" s="146" t="str">
        <f ca="1">RESULTADOS!AU35</f>
        <v/>
      </c>
      <c r="BR18" s="146" t="str">
        <f ca="1">RESULTADOS!AV35</f>
        <v/>
      </c>
      <c r="BS18" s="146" t="str">
        <f ca="1">RESULTADOS!AW35</f>
        <v/>
      </c>
      <c r="BT18" s="146" t="str">
        <f ca="1">RESULTADOS!AX35</f>
        <v/>
      </c>
      <c r="BU18" s="146" t="str">
        <f ca="1">RESULTADOS!AY35</f>
        <v/>
      </c>
      <c r="BV18" s="146" t="str">
        <f ca="1">RESULTADOS!AZ35</f>
        <v/>
      </c>
      <c r="BW18" s="146" t="str">
        <f ca="1">RESULTADOS!BA35</f>
        <v/>
      </c>
      <c r="BX18" s="146" t="str">
        <f ca="1">RESULTADOS!BB35</f>
        <v/>
      </c>
      <c r="BY18" s="146" t="str">
        <f ca="1">RESULTADOS!BC35</f>
        <v/>
      </c>
      <c r="BZ18" s="146" t="str">
        <f ca="1">RESULTADOS!BD35</f>
        <v/>
      </c>
      <c r="CA18" s="146" t="str">
        <f ca="1">RESULTADOS!BE35</f>
        <v/>
      </c>
      <c r="CB18" s="146" t="str">
        <f ca="1">RESULTADOS!BF35</f>
        <v/>
      </c>
      <c r="CC18" s="146" t="str">
        <f ca="1">RESULTADOS!BG35</f>
        <v/>
      </c>
      <c r="CD18" s="146" t="str">
        <f ca="1">RESULTADOS!BH35</f>
        <v/>
      </c>
      <c r="CE18" s="146" t="str">
        <f ca="1">RESULTADOS!BI35</f>
        <v/>
      </c>
      <c r="CF18" s="146" t="str">
        <f ca="1">RESULTADOS!BJ35</f>
        <v/>
      </c>
      <c r="CG18" s="146" t="str">
        <f ca="1">RESULTADOS!BK35</f>
        <v/>
      </c>
      <c r="CH18" s="146" t="str">
        <f ca="1">RESULTADOS!BL35</f>
        <v/>
      </c>
      <c r="CI18" s="146" t="str">
        <f ca="1">RESULTADOS!BM35</f>
        <v/>
      </c>
      <c r="CJ18" s="146" t="str">
        <f ca="1">RESULTADOS!BN35</f>
        <v/>
      </c>
      <c r="CK18" s="146" t="str">
        <f ca="1">RESULTADOS!BO35</f>
        <v/>
      </c>
      <c r="CL18" s="146" t="str">
        <f ca="1">RESULTADOS!BP35</f>
        <v/>
      </c>
      <c r="CM18" s="146" t="str">
        <f ca="1">RESULTADOS!BQ35</f>
        <v/>
      </c>
      <c r="CN18" s="146" t="str">
        <f ca="1">RESULTADOS!BR35</f>
        <v/>
      </c>
      <c r="CO18" s="146" t="str">
        <f ca="1">RESULTADOS!BS35</f>
        <v/>
      </c>
      <c r="CP18" s="146" t="str">
        <f ca="1">RESULTADOS!BT35</f>
        <v/>
      </c>
      <c r="CQ18" s="146" t="str">
        <f ca="1">RESULTADOS!BU35</f>
        <v/>
      </c>
      <c r="CR18" s="146" t="str">
        <f ca="1">RESULTADOS!BV35</f>
        <v/>
      </c>
      <c r="CS18" s="146" t="str">
        <f ca="1">RESULTADOS!BW35</f>
        <v/>
      </c>
      <c r="CT18" s="146" t="str">
        <f ca="1">RESULTADOS!BX35</f>
        <v/>
      </c>
      <c r="CU18" s="146" t="str">
        <f ca="1">RESULTADOS!BY35</f>
        <v/>
      </c>
      <c r="CV18" s="146" t="str">
        <f ca="1">RESULTADOS!BZ35</f>
        <v/>
      </c>
      <c r="CW18" s="146" t="str">
        <f ca="1">RESULTADOS!CA35</f>
        <v/>
      </c>
      <c r="CX18" s="146" t="str">
        <f ca="1">RESULTADOS!CB35</f>
        <v/>
      </c>
      <c r="CY18" s="146" t="str">
        <f ca="1">RESULTADOS!CC35</f>
        <v/>
      </c>
      <c r="CZ18" s="146" t="str">
        <f ca="1">RESULTADOS!CD35</f>
        <v/>
      </c>
      <c r="DA18" s="146" t="str">
        <f ca="1">RESULTADOS!CE35</f>
        <v/>
      </c>
      <c r="DB18" s="146" t="str">
        <f ca="1">RESULTADOS!CF35</f>
        <v/>
      </c>
      <c r="DC18" s="146" t="str">
        <f ca="1">RESULTADOS!CG35</f>
        <v/>
      </c>
      <c r="DD18" s="146" t="str">
        <f ca="1">RESULTADOS!CH35</f>
        <v/>
      </c>
      <c r="DE18" s="146" t="str">
        <f ca="1">RESULTADOS!CI35</f>
        <v/>
      </c>
      <c r="DF18" s="146" t="str">
        <f ca="1">RESULTADOS!CJ35</f>
        <v/>
      </c>
      <c r="DG18" s="146" t="str">
        <f ca="1">RESULTADOS!CK35</f>
        <v/>
      </c>
      <c r="DH18" s="146" t="str">
        <f ca="1">RESULTADOS!CL35</f>
        <v/>
      </c>
      <c r="DI18" s="146" t="str">
        <f ca="1">RESULTADOS!CM35</f>
        <v/>
      </c>
      <c r="DJ18" s="146" t="str">
        <f ca="1">RESULTADOS!CN35</f>
        <v/>
      </c>
      <c r="DK18" s="146" t="str">
        <f ca="1">RESULTADOS!CO35</f>
        <v/>
      </c>
      <c r="DL18" s="146" t="str">
        <f ca="1">RESULTADOS!CP35</f>
        <v/>
      </c>
      <c r="DM18" s="146" t="str">
        <f ca="1">RESULTADOS!CQ35</f>
        <v/>
      </c>
      <c r="DN18" s="146" t="str">
        <f ca="1">RESULTADOS!CR35</f>
        <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ht="13">
      <c r="C19" s="144" t="s">
        <v>274</v>
      </c>
      <c r="D19" s="147" t="str">
        <f>'01.Definición de ámbito'!D49</f>
        <v>No</v>
      </c>
      <c r="K19" s="40" t="s">
        <v>28</v>
      </c>
      <c r="L19" s="148">
        <f ca="1">RESULTADOS!L9</f>
        <v>63</v>
      </c>
      <c r="M19" s="216">
        <f ca="1">RESULTADOS!M9</f>
        <v>0.13695652173913042</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ht="13">
      <c r="C20" s="144" t="s">
        <v>275</v>
      </c>
      <c r="D20" s="147" t="str">
        <f>'01.Definición de ámbito'!D50</f>
        <v>No</v>
      </c>
      <c r="K20" s="40" t="s">
        <v>31</v>
      </c>
      <c r="L20" s="148">
        <f ca="1">RESULTADOS!L10</f>
        <v>285</v>
      </c>
      <c r="M20" s="216">
        <f ca="1">RESULTADOS!M10</f>
        <v>0.61956521739130432</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ht="13">
      <c r="C21" s="144" t="s">
        <v>7</v>
      </c>
      <c r="D21" s="147" t="str">
        <f>'01.Definición de ámbito'!D51</f>
        <v>No</v>
      </c>
      <c r="K21" s="40" t="s">
        <v>48</v>
      </c>
      <c r="L21" s="148">
        <f ca="1">RESULTADOS!L11</f>
        <v>460</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ht="13">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ht="13">
      <c r="C23" s="144" t="s">
        <v>9</v>
      </c>
      <c r="D23" s="147" t="str">
        <f>'01.Definición de ámbito'!D53</f>
        <v>No</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ht="13">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ht="13">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ht="13">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ht="13">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ht="13">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ht="13">
      <c r="C29" s="144" t="s">
        <v>146</v>
      </c>
      <c r="D29" s="147" t="str">
        <f>'01.Definición de ámbito'!C58</f>
        <v>Autoevaluación con recursos externos</v>
      </c>
      <c r="K29" s="40" t="s">
        <v>350</v>
      </c>
      <c r="L29" s="150">
        <f ca="1">RESULTADOS!F14</f>
        <v>6</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ht="13">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ht="13">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topLeftCell="C14" zoomScale="85" zoomScaleNormal="85" workbookViewId="0">
      <selection activeCell="C29" sqref="C29"/>
    </sheetView>
  </sheetViews>
  <sheetFormatPr baseColWidth="10" defaultColWidth="11.54296875" defaultRowHeight="12.5"/>
  <cols>
    <col min="1" max="1" width="11.5429687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7265625" style="14" customWidth="1"/>
    <col min="27"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4"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49" t="s">
        <v>14</v>
      </c>
      <c r="E3" s="250"/>
      <c r="F3" s="19"/>
      <c r="G3" s="19"/>
      <c r="H3" s="19"/>
      <c r="I3" s="19"/>
      <c r="J3" s="19"/>
      <c r="K3" s="19"/>
      <c r="L3" s="19"/>
      <c r="M3" s="19"/>
      <c r="N3" s="19"/>
      <c r="O3" s="19"/>
      <c r="P3" s="19"/>
      <c r="Q3" s="19"/>
      <c r="R3" s="19"/>
      <c r="S3" s="19"/>
      <c r="T3" s="19"/>
      <c r="U3" s="19"/>
      <c r="V3" s="19"/>
      <c r="W3" s="19"/>
      <c r="X3" s="19"/>
      <c r="Y3" s="19"/>
      <c r="Z3" s="19"/>
    </row>
    <row r="4" spans="1:64" ht="16.75"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4"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c r="D9" s="19"/>
      <c r="E9" s="19"/>
      <c r="F9" s="19"/>
      <c r="G9" s="19"/>
      <c r="H9" s="19"/>
      <c r="I9" s="19"/>
      <c r="J9" s="19"/>
      <c r="K9" s="19"/>
      <c r="L9" s="19"/>
      <c r="M9" s="19"/>
      <c r="N9" s="19"/>
      <c r="O9" s="19"/>
      <c r="P9" s="19"/>
      <c r="Q9" s="19"/>
      <c r="R9" s="19"/>
      <c r="S9" s="19"/>
      <c r="T9" s="19"/>
      <c r="U9" s="19"/>
      <c r="V9" s="19"/>
      <c r="W9" s="19"/>
      <c r="X9" s="19"/>
      <c r="Y9" s="19"/>
      <c r="Z9" s="19"/>
    </row>
    <row r="10" spans="1:64" ht="10.7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3"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4"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5"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4"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t="s">
        <v>488</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4" t="s">
        <v>489</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t="s">
        <v>490</v>
      </c>
      <c r="D31" s="128"/>
      <c r="E31" s="128"/>
      <c r="F31" s="128"/>
      <c r="G31" s="128"/>
      <c r="H31" s="128"/>
      <c r="I31" s="128"/>
      <c r="J31" s="128"/>
      <c r="K31" s="128"/>
      <c r="L31" s="128"/>
      <c r="M31" s="128"/>
      <c r="N31" s="19"/>
      <c r="O31" s="19"/>
      <c r="P31" s="19"/>
      <c r="Q31" s="19"/>
      <c r="R31" s="19"/>
      <c r="S31" s="19"/>
      <c r="V31" s="19"/>
      <c r="W31" s="19"/>
      <c r="X31" s="19"/>
      <c r="Y31" s="19"/>
      <c r="Z31" s="19"/>
    </row>
    <row r="32" spans="1:26" ht="10.7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491</v>
      </c>
    </row>
    <row r="34" spans="2:26" ht="10.7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5">
        <v>45134</v>
      </c>
      <c r="D35" s="128"/>
      <c r="E35" s="128"/>
      <c r="F35" s="128"/>
      <c r="G35" s="128"/>
      <c r="H35" s="128"/>
      <c r="I35" s="128"/>
      <c r="J35" s="128"/>
      <c r="K35" s="128"/>
      <c r="L35" s="128"/>
      <c r="M35" s="128"/>
    </row>
    <row r="36" spans="2:26" ht="11.5" customHeight="1">
      <c r="B36" s="16"/>
      <c r="C36" s="16"/>
    </row>
    <row r="37" spans="2:26" ht="14.15" customHeight="1">
      <c r="B37" s="127"/>
      <c r="C37" s="127"/>
      <c r="D37" s="19"/>
      <c r="E37" s="19"/>
      <c r="F37" s="19"/>
      <c r="G37" s="19"/>
      <c r="H37" s="19"/>
      <c r="I37" s="19"/>
      <c r="J37" s="19"/>
      <c r="K37" s="19"/>
      <c r="L37" s="19"/>
      <c r="M37" s="19"/>
      <c r="N37" s="19"/>
    </row>
    <row r="38" spans="2:26" ht="10.7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4" t="s">
        <v>484</v>
      </c>
      <c r="D41" s="19"/>
      <c r="E41" s="19"/>
      <c r="F41" s="19"/>
      <c r="G41" s="19"/>
      <c r="H41" s="19"/>
      <c r="I41" s="19"/>
      <c r="J41" s="19"/>
      <c r="K41" s="19"/>
      <c r="L41" s="19"/>
      <c r="M41" s="19"/>
      <c r="N41" s="19"/>
      <c r="O41" s="19"/>
      <c r="Q41" s="19"/>
      <c r="R41" s="19"/>
      <c r="S41" s="19"/>
      <c r="U41" s="19"/>
      <c r="V41" s="19"/>
      <c r="W41" s="19"/>
      <c r="X41" s="19"/>
      <c r="Y41" s="19"/>
      <c r="Z41" s="19"/>
    </row>
    <row r="42" spans="2:26" ht="10.7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9" customHeight="1">
      <c r="C48" s="82" t="s">
        <v>5</v>
      </c>
      <c r="D48" s="20" t="s">
        <v>6</v>
      </c>
      <c r="G48" s="81"/>
    </row>
    <row r="49" spans="2:26" ht="14.9" customHeight="1">
      <c r="C49" s="82" t="s">
        <v>274</v>
      </c>
      <c r="D49" s="20" t="s">
        <v>6</v>
      </c>
      <c r="G49" s="81"/>
    </row>
    <row r="50" spans="2:26" ht="14.9" customHeight="1">
      <c r="C50" s="82" t="s">
        <v>275</v>
      </c>
      <c r="D50" s="20" t="s">
        <v>6</v>
      </c>
      <c r="G50" s="81"/>
    </row>
    <row r="51" spans="2:26" ht="14.9" customHeight="1">
      <c r="C51" s="82" t="s">
        <v>7</v>
      </c>
      <c r="D51" s="20" t="s">
        <v>6</v>
      </c>
      <c r="G51" s="81"/>
    </row>
    <row r="52" spans="2:26" ht="14.9" customHeight="1">
      <c r="C52" s="82" t="s">
        <v>8</v>
      </c>
      <c r="D52" s="20" t="s">
        <v>6</v>
      </c>
      <c r="G52" s="81"/>
    </row>
    <row r="53" spans="2:26" ht="14.9" customHeight="1">
      <c r="C53" s="82" t="s">
        <v>9</v>
      </c>
      <c r="D53" s="20" t="s">
        <v>6</v>
      </c>
      <c r="G53" s="81"/>
    </row>
    <row r="54" spans="2:26" ht="14.9" customHeight="1">
      <c r="C54" s="82" t="s">
        <v>276</v>
      </c>
      <c r="D54" s="20" t="s">
        <v>6</v>
      </c>
      <c r="G54" s="81"/>
    </row>
    <row r="55" spans="2:26" ht="14.9" customHeight="1">
      <c r="C55" s="82" t="s">
        <v>277</v>
      </c>
      <c r="D55" s="20" t="s">
        <v>6</v>
      </c>
      <c r="G55" s="81"/>
    </row>
    <row r="56" spans="2:26" ht="14.9"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7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7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99999999999999"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92"/>
    <col min="2" max="2" width="14" style="192" customWidth="1"/>
    <col min="3" max="3" width="8.7265625" style="192" customWidth="1"/>
    <col min="4" max="4" width="9.453125" style="192" customWidth="1"/>
    <col min="5" max="5" width="14.453125" style="192" customWidth="1"/>
    <col min="6" max="6" width="8.54296875" style="192" customWidth="1"/>
    <col min="7" max="7" width="11.54296875" style="192"/>
    <col min="8" max="8" width="12" style="192" customWidth="1"/>
    <col min="9" max="9" width="8.7265625" style="192" customWidth="1"/>
    <col min="10" max="10" width="11.54296875" style="192"/>
    <col min="11" max="11" width="19.54296875" style="192" customWidth="1"/>
    <col min="12" max="12" width="40.7265625" style="192" customWidth="1"/>
    <col min="13" max="16384" width="11.5429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4"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5"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4"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8" customHeight="1" thickBot="1">
      <c r="B6" s="251" t="s">
        <v>291</v>
      </c>
      <c r="C6" s="251"/>
      <c r="D6" s="251"/>
      <c r="E6" s="251"/>
      <c r="F6" s="251"/>
      <c r="G6" s="251"/>
      <c r="H6" s="251"/>
      <c r="I6" s="251"/>
      <c r="J6" s="251"/>
      <c r="K6" s="251"/>
      <c r="L6" s="251"/>
    </row>
    <row r="7" spans="1:60" ht="33.25" customHeight="1" thickTop="1">
      <c r="B7" s="252" t="s">
        <v>292</v>
      </c>
      <c r="C7" s="252"/>
      <c r="D7" s="252"/>
      <c r="E7" s="252"/>
      <c r="F7" s="252"/>
      <c r="G7" s="252"/>
      <c r="H7" s="252"/>
      <c r="I7" s="252"/>
      <c r="J7" s="252"/>
      <c r="K7" s="252"/>
      <c r="L7" s="252"/>
    </row>
    <row r="8" spans="1:60" ht="21.65" customHeight="1"/>
    <row r="9" spans="1:60" ht="17.149999999999999" customHeight="1">
      <c r="B9" s="200" t="s">
        <v>293</v>
      </c>
      <c r="C9" s="201" t="s">
        <v>60</v>
      </c>
      <c r="E9" s="200" t="s">
        <v>294</v>
      </c>
      <c r="F9" s="201" t="s">
        <v>6</v>
      </c>
      <c r="H9" s="200" t="s">
        <v>295</v>
      </c>
      <c r="I9" s="201" t="s">
        <v>6</v>
      </c>
    </row>
    <row r="10" spans="1:60" ht="17.149999999999999" customHeight="1">
      <c r="B10" s="200" t="s">
        <v>296</v>
      </c>
      <c r="C10" s="201" t="s">
        <v>6</v>
      </c>
      <c r="E10" s="200" t="s">
        <v>297</v>
      </c>
      <c r="F10" s="201" t="s">
        <v>6</v>
      </c>
      <c r="H10" s="200" t="s">
        <v>298</v>
      </c>
      <c r="I10" s="201" t="s">
        <v>6</v>
      </c>
    </row>
    <row r="11" spans="1:60" ht="17.149999999999999" customHeight="1">
      <c r="B11" s="200" t="s">
        <v>299</v>
      </c>
      <c r="C11" s="201" t="s">
        <v>6</v>
      </c>
      <c r="E11" s="200" t="s">
        <v>300</v>
      </c>
      <c r="F11" s="201" t="s">
        <v>6</v>
      </c>
      <c r="H11" s="200" t="s">
        <v>301</v>
      </c>
      <c r="I11" s="201" t="s">
        <v>6</v>
      </c>
    </row>
    <row r="12" spans="1:60" ht="17.149999999999999" customHeight="1">
      <c r="B12" s="200" t="s">
        <v>302</v>
      </c>
      <c r="C12" s="201" t="s">
        <v>60</v>
      </c>
      <c r="E12" s="200" t="s">
        <v>303</v>
      </c>
      <c r="F12" s="201" t="s">
        <v>6</v>
      </c>
      <c r="H12" s="200" t="s">
        <v>304</v>
      </c>
      <c r="I12" s="201" t="s">
        <v>6</v>
      </c>
      <c r="K12" s="202" t="s">
        <v>305</v>
      </c>
      <c r="L12" s="202" t="s">
        <v>306</v>
      </c>
    </row>
    <row r="13" spans="1:60" ht="17.149999999999999" customHeight="1">
      <c r="B13" s="200" t="s">
        <v>307</v>
      </c>
      <c r="C13" s="201" t="s">
        <v>60</v>
      </c>
      <c r="E13" s="200" t="s">
        <v>308</v>
      </c>
      <c r="F13" s="201" t="s">
        <v>6</v>
      </c>
      <c r="K13" s="203"/>
      <c r="L13" s="203"/>
    </row>
    <row r="14" spans="1:60" ht="17.149999999999999" customHeight="1">
      <c r="K14" s="203"/>
      <c r="L14" s="203"/>
    </row>
    <row r="15" spans="1:60" ht="17.149999999999999" customHeight="1">
      <c r="K15" s="203"/>
      <c r="L15" s="203"/>
    </row>
    <row r="16" spans="1:60" ht="17.149999999999999" customHeight="1">
      <c r="K16" s="203"/>
      <c r="L16" s="203"/>
    </row>
    <row r="17" spans="3:12">
      <c r="C17" s="253" t="s">
        <v>309</v>
      </c>
      <c r="D17" s="254"/>
      <c r="E17" s="254"/>
      <c r="F17" s="254"/>
      <c r="G17" s="255"/>
      <c r="K17" s="203"/>
      <c r="L17" s="203"/>
    </row>
    <row r="18" spans="3:12">
      <c r="C18" s="256"/>
      <c r="D18" s="257"/>
      <c r="E18" s="257"/>
      <c r="F18" s="257"/>
      <c r="G18" s="258"/>
      <c r="K18" s="203"/>
      <c r="L18" s="203"/>
    </row>
    <row r="19" spans="3:12">
      <c r="C19" s="259"/>
      <c r="D19" s="260"/>
      <c r="E19" s="260"/>
      <c r="F19" s="260"/>
      <c r="G19" s="261"/>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zoomScale="70" zoomScaleNormal="70" workbookViewId="0">
      <selection activeCell="C12" sqref="C12"/>
    </sheetView>
  </sheetViews>
  <sheetFormatPr baseColWidth="10" defaultColWidth="11.54296875" defaultRowHeight="12.5"/>
  <cols>
    <col min="1" max="1" width="11.7265625" style="14" customWidth="1"/>
    <col min="2" max="2" width="9.54296875" style="14" customWidth="1"/>
    <col min="3" max="3" width="27.26953125" style="14" customWidth="1"/>
    <col min="4" max="4" width="19.1796875" style="14" customWidth="1"/>
    <col min="5" max="5" width="27.54296875" style="14" bestFit="1" customWidth="1"/>
    <col min="6" max="6" width="72.54296875" style="14" customWidth="1"/>
    <col min="7" max="7" width="64.7265625" style="14" customWidth="1"/>
    <col min="8" max="8" width="134.453125" style="14" customWidth="1"/>
    <col min="9" max="24" width="8.7265625" style="14" customWidth="1"/>
    <col min="25"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4"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5"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4" customHeight="1">
      <c r="B5" s="262" t="s">
        <v>15</v>
      </c>
      <c r="C5" s="262"/>
      <c r="D5" s="262"/>
      <c r="E5" s="262"/>
      <c r="F5" s="262"/>
      <c r="G5" s="262"/>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99999999999999"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5"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5" customHeight="1">
      <c r="B8" s="133">
        <v>1</v>
      </c>
      <c r="C8" s="134" t="s">
        <v>481</v>
      </c>
      <c r="D8" s="72" t="s">
        <v>482</v>
      </c>
      <c r="E8" s="72" t="s">
        <v>62</v>
      </c>
      <c r="F8" s="158" t="s">
        <v>489</v>
      </c>
      <c r="G8" s="72" t="s">
        <v>483</v>
      </c>
      <c r="H8" s="187" t="s">
        <v>20</v>
      </c>
      <c r="I8" s="19"/>
      <c r="J8" s="19"/>
      <c r="K8" s="19"/>
      <c r="L8" s="19"/>
      <c r="M8" s="19"/>
      <c r="N8" s="19"/>
      <c r="O8" s="19"/>
      <c r="P8" s="19"/>
      <c r="Q8" s="19"/>
      <c r="R8" s="19"/>
      <c r="S8" s="19"/>
      <c r="T8" s="19"/>
      <c r="U8" s="19"/>
      <c r="V8" s="19"/>
      <c r="W8" s="19"/>
      <c r="X8" s="19"/>
      <c r="Y8" s="19"/>
    </row>
    <row r="9" spans="1:64" ht="18.25" customHeight="1">
      <c r="B9" s="70">
        <v>2</v>
      </c>
      <c r="C9" s="71" t="s">
        <v>485</v>
      </c>
      <c r="D9" s="72" t="s">
        <v>482</v>
      </c>
      <c r="E9" s="72" t="s">
        <v>79</v>
      </c>
      <c r="F9" s="158" t="s">
        <v>492</v>
      </c>
      <c r="G9" s="72" t="s">
        <v>493</v>
      </c>
      <c r="H9" s="132"/>
      <c r="I9" s="19"/>
      <c r="J9" s="19"/>
      <c r="K9" s="19"/>
      <c r="L9" s="19"/>
      <c r="M9" s="19"/>
      <c r="N9" s="19"/>
      <c r="O9" s="19"/>
      <c r="P9" s="19"/>
      <c r="Q9" s="19"/>
      <c r="R9" s="19"/>
      <c r="S9" s="19"/>
      <c r="T9" s="19"/>
      <c r="U9" s="19"/>
      <c r="V9" s="19"/>
      <c r="W9" s="19"/>
      <c r="X9" s="19"/>
      <c r="Y9" s="19"/>
    </row>
    <row r="10" spans="1:64" ht="18.25" customHeight="1">
      <c r="B10" s="70">
        <v>3</v>
      </c>
      <c r="C10" s="71" t="s">
        <v>486</v>
      </c>
      <c r="D10" s="72" t="s">
        <v>482</v>
      </c>
      <c r="E10" s="72" t="s">
        <v>79</v>
      </c>
      <c r="F10" s="158" t="s">
        <v>497</v>
      </c>
      <c r="G10" s="72" t="s">
        <v>494</v>
      </c>
      <c r="H10" s="132"/>
      <c r="I10" s="19"/>
      <c r="J10" s="19"/>
      <c r="K10" s="19"/>
      <c r="L10" s="19"/>
      <c r="M10" s="19"/>
      <c r="N10" s="19"/>
      <c r="O10" s="19"/>
      <c r="P10" s="19"/>
      <c r="Q10" s="19"/>
      <c r="R10" s="19"/>
      <c r="S10" s="19"/>
      <c r="T10" s="19"/>
      <c r="U10" s="19"/>
      <c r="V10" s="19"/>
      <c r="W10" s="19"/>
      <c r="X10" s="19"/>
      <c r="Y10" s="19"/>
    </row>
    <row r="11" spans="1:64" ht="18.25" customHeight="1">
      <c r="B11" s="70">
        <v>4</v>
      </c>
      <c r="C11" s="71" t="s">
        <v>487</v>
      </c>
      <c r="D11" s="72" t="s">
        <v>482</v>
      </c>
      <c r="E11" s="72" t="s">
        <v>79</v>
      </c>
      <c r="F11" s="125" t="s">
        <v>496</v>
      </c>
      <c r="G11" s="72" t="s">
        <v>495</v>
      </c>
      <c r="H11" s="132" t="s">
        <v>4</v>
      </c>
      <c r="I11" s="19"/>
      <c r="J11" s="19"/>
      <c r="K11" s="19"/>
      <c r="L11" s="19"/>
      <c r="M11" s="19"/>
      <c r="N11" s="19"/>
      <c r="O11" s="19"/>
      <c r="P11" s="19"/>
      <c r="Q11" s="19"/>
      <c r="R11" s="19"/>
      <c r="S11" s="19"/>
      <c r="T11" s="19"/>
      <c r="U11" s="19"/>
      <c r="V11" s="19"/>
      <c r="W11" s="19"/>
      <c r="X11" s="19"/>
      <c r="Y11" s="19"/>
    </row>
    <row r="12" spans="1:64" ht="18.25" customHeight="1">
      <c r="B12" s="70">
        <v>5</v>
      </c>
      <c r="C12" s="71" t="s">
        <v>500</v>
      </c>
      <c r="D12" s="72" t="s">
        <v>482</v>
      </c>
      <c r="E12" s="72" t="s">
        <v>77</v>
      </c>
      <c r="F12" s="158" t="s">
        <v>498</v>
      </c>
      <c r="G12" s="72" t="s">
        <v>499</v>
      </c>
      <c r="H12" s="132"/>
      <c r="I12" s="19"/>
      <c r="J12" s="19"/>
      <c r="K12" s="19"/>
      <c r="L12" s="19"/>
      <c r="M12" s="19"/>
      <c r="N12" s="19"/>
      <c r="O12" s="19"/>
      <c r="P12" s="19"/>
      <c r="Q12" s="19"/>
      <c r="R12" s="19"/>
      <c r="S12" s="19"/>
      <c r="T12" s="19"/>
      <c r="U12" s="19"/>
      <c r="V12" s="19"/>
      <c r="W12" s="19"/>
      <c r="X12" s="19"/>
      <c r="Y12" s="19"/>
    </row>
    <row r="13" spans="1:64" ht="18.25" customHeight="1">
      <c r="B13" s="70">
        <v>6</v>
      </c>
      <c r="C13" s="71"/>
      <c r="D13" s="72"/>
      <c r="E13" s="72"/>
      <c r="F13" s="125"/>
      <c r="G13" s="72"/>
      <c r="H13" s="132"/>
      <c r="I13" s="19"/>
      <c r="J13" s="19"/>
      <c r="K13" s="19"/>
      <c r="L13" s="19"/>
      <c r="M13" s="19"/>
      <c r="N13" s="19"/>
      <c r="O13" s="19"/>
      <c r="P13" s="19"/>
      <c r="Q13" s="19"/>
      <c r="R13" s="19"/>
      <c r="S13" s="19"/>
      <c r="T13" s="19"/>
      <c r="V13" s="19"/>
      <c r="W13" s="19"/>
      <c r="X13" s="19"/>
      <c r="Y13" s="19"/>
    </row>
    <row r="14" spans="1:64" ht="18.25" customHeight="1">
      <c r="B14" s="70">
        <v>7</v>
      </c>
      <c r="C14" s="71"/>
      <c r="D14" s="72"/>
      <c r="E14" s="72"/>
      <c r="F14" s="158"/>
      <c r="G14" s="72"/>
      <c r="H14" s="132"/>
      <c r="I14" s="19"/>
      <c r="J14" s="19"/>
      <c r="K14" s="19"/>
      <c r="L14" s="19"/>
      <c r="M14" s="19"/>
      <c r="N14" s="19"/>
      <c r="O14" s="19"/>
      <c r="P14" s="19"/>
      <c r="Q14" s="19"/>
      <c r="R14" s="19"/>
      <c r="S14" s="19"/>
      <c r="T14" s="19"/>
      <c r="U14" s="19"/>
      <c r="V14" s="19"/>
      <c r="W14" s="19"/>
      <c r="X14" s="19"/>
      <c r="Y14" s="19"/>
    </row>
    <row r="15" spans="1:64" ht="18.25" customHeight="1">
      <c r="B15" s="70">
        <v>8</v>
      </c>
      <c r="C15" s="71"/>
      <c r="D15" s="72"/>
      <c r="E15" s="72"/>
      <c r="F15" s="158"/>
      <c r="G15" s="72"/>
      <c r="H15" s="132"/>
      <c r="I15" s="19"/>
      <c r="J15" s="19"/>
      <c r="K15" s="19"/>
      <c r="L15" s="19"/>
      <c r="M15" s="19"/>
      <c r="N15" s="19"/>
      <c r="O15" s="19"/>
      <c r="P15" s="19"/>
      <c r="Q15" s="19"/>
      <c r="R15" s="19"/>
      <c r="S15" s="19"/>
      <c r="T15" s="19"/>
      <c r="U15" s="19"/>
      <c r="V15" s="19"/>
      <c r="W15" s="19"/>
      <c r="X15" s="19"/>
      <c r="Y15" s="19"/>
    </row>
    <row r="16" spans="1:64" ht="18.25" customHeight="1">
      <c r="B16" s="70">
        <v>9</v>
      </c>
      <c r="C16" s="71"/>
      <c r="D16" s="72"/>
      <c r="E16" s="72"/>
      <c r="F16" s="158"/>
      <c r="G16" s="72"/>
      <c r="H16" s="132"/>
      <c r="I16" s="19"/>
      <c r="J16" s="19"/>
      <c r="K16" s="19"/>
      <c r="L16" s="19"/>
      <c r="M16" s="19"/>
      <c r="N16" s="19"/>
      <c r="O16" s="19"/>
      <c r="P16" s="19"/>
      <c r="Q16" s="19"/>
      <c r="R16" s="19"/>
      <c r="S16" s="19"/>
      <c r="T16" s="19"/>
      <c r="U16" s="19"/>
      <c r="V16" s="19"/>
      <c r="W16" s="19"/>
      <c r="X16" s="19"/>
      <c r="Y16" s="19"/>
    </row>
    <row r="17" spans="2:25" ht="18.25" customHeight="1">
      <c r="B17" s="70">
        <v>10</v>
      </c>
      <c r="C17" s="71"/>
      <c r="D17" s="72"/>
      <c r="E17" s="72"/>
      <c r="F17" s="158"/>
      <c r="G17" s="72"/>
      <c r="H17" s="132"/>
      <c r="I17" s="19"/>
      <c r="J17" s="19"/>
      <c r="K17" s="19"/>
      <c r="L17" s="19"/>
      <c r="M17" s="19"/>
      <c r="N17" s="19"/>
      <c r="O17" s="19"/>
      <c r="P17" s="19"/>
      <c r="Q17" s="19"/>
      <c r="R17" s="19"/>
      <c r="S17" s="19"/>
      <c r="T17" s="19"/>
      <c r="U17" s="19"/>
      <c r="V17" s="19"/>
      <c r="W17" s="19"/>
      <c r="X17" s="19"/>
      <c r="Y17" s="19"/>
    </row>
    <row r="18" spans="2:25" ht="18.25" customHeight="1">
      <c r="B18" s="70">
        <v>11</v>
      </c>
      <c r="C18" s="71"/>
      <c r="D18" s="72"/>
      <c r="E18" s="72"/>
      <c r="F18" s="158"/>
      <c r="G18" s="72"/>
      <c r="H18" s="132"/>
      <c r="I18" s="19"/>
      <c r="J18" s="19"/>
      <c r="K18" s="19"/>
      <c r="L18" s="19"/>
      <c r="M18" s="19"/>
      <c r="N18" s="19"/>
      <c r="O18" s="19"/>
      <c r="P18" s="19"/>
      <c r="Q18" s="19"/>
      <c r="R18" s="19"/>
      <c r="S18" s="19"/>
      <c r="T18" s="19"/>
      <c r="U18" s="19"/>
      <c r="V18" s="19"/>
      <c r="W18" s="19"/>
      <c r="X18" s="19"/>
      <c r="Y18" s="19"/>
    </row>
    <row r="19" spans="2:25" ht="18.25" customHeight="1">
      <c r="B19" s="70">
        <v>12</v>
      </c>
      <c r="C19" s="71"/>
      <c r="D19" s="72"/>
      <c r="E19" s="72"/>
      <c r="F19" s="158"/>
      <c r="G19" s="72"/>
      <c r="H19" s="132"/>
      <c r="I19" s="19"/>
      <c r="J19" s="19"/>
      <c r="K19" s="19"/>
      <c r="L19" s="19"/>
      <c r="M19" s="19"/>
      <c r="N19" s="19"/>
      <c r="O19" s="19"/>
      <c r="P19" s="19"/>
      <c r="Q19" s="19"/>
      <c r="R19" s="19"/>
      <c r="S19" s="19"/>
      <c r="T19" s="19"/>
      <c r="U19" s="19"/>
      <c r="V19" s="19"/>
      <c r="W19" s="19"/>
      <c r="X19" s="19"/>
      <c r="Y19" s="19"/>
    </row>
    <row r="20" spans="2:25" ht="18.25" customHeight="1">
      <c r="B20" s="70">
        <v>13</v>
      </c>
      <c r="C20" s="71"/>
      <c r="D20" s="72"/>
      <c r="E20" s="72"/>
      <c r="F20" s="158"/>
      <c r="G20" s="72"/>
      <c r="H20" s="132"/>
      <c r="I20" s="19"/>
      <c r="J20" s="19"/>
      <c r="K20" s="19"/>
      <c r="L20" s="19"/>
      <c r="M20" s="19"/>
      <c r="N20" s="19"/>
      <c r="O20" s="19"/>
      <c r="P20" s="19"/>
      <c r="Q20" s="19"/>
      <c r="R20" s="19"/>
      <c r="S20" s="19"/>
      <c r="T20" s="19"/>
      <c r="U20" s="19"/>
      <c r="V20" s="19"/>
      <c r="W20" s="19"/>
      <c r="X20" s="19"/>
      <c r="Y20" s="19"/>
    </row>
    <row r="21" spans="2:25" ht="18.25" customHeight="1">
      <c r="B21" s="70">
        <v>14</v>
      </c>
      <c r="C21" s="71"/>
      <c r="D21" s="72"/>
      <c r="E21" s="72"/>
      <c r="F21" s="158"/>
      <c r="G21" s="72"/>
      <c r="H21" s="132"/>
      <c r="I21" s="19"/>
      <c r="J21" s="19"/>
      <c r="K21" s="19"/>
      <c r="L21" s="19"/>
      <c r="M21" s="19"/>
      <c r="N21" s="19"/>
      <c r="O21" s="19"/>
      <c r="P21" s="19"/>
      <c r="Q21" s="19"/>
      <c r="R21" s="19"/>
      <c r="S21" s="19"/>
      <c r="T21" s="19"/>
      <c r="U21" s="19"/>
      <c r="V21" s="19"/>
      <c r="W21" s="19"/>
      <c r="X21" s="19"/>
      <c r="Y21" s="19"/>
    </row>
    <row r="22" spans="2:25" ht="18.25" customHeight="1">
      <c r="B22" s="70">
        <v>15</v>
      </c>
      <c r="C22" s="71"/>
      <c r="D22" s="72"/>
      <c r="E22" s="72"/>
      <c r="F22" s="158"/>
      <c r="G22" s="72"/>
      <c r="H22" s="132"/>
      <c r="I22" s="19"/>
      <c r="J22" s="19"/>
      <c r="K22" s="19"/>
      <c r="L22" s="19"/>
      <c r="M22" s="19"/>
      <c r="N22" s="19"/>
      <c r="O22" s="19"/>
      <c r="P22" s="19"/>
      <c r="Q22" s="19"/>
      <c r="R22" s="19"/>
      <c r="S22" s="19"/>
      <c r="T22" s="19"/>
      <c r="U22" s="19"/>
      <c r="V22" s="19"/>
      <c r="W22" s="19"/>
      <c r="X22" s="19"/>
      <c r="Y22" s="19"/>
    </row>
    <row r="23" spans="2:25" ht="18.25" customHeight="1">
      <c r="B23" s="70">
        <v>16</v>
      </c>
      <c r="C23" s="71"/>
      <c r="D23" s="72"/>
      <c r="E23" s="72"/>
      <c r="F23" s="158"/>
      <c r="G23" s="72"/>
      <c r="H23" s="132"/>
      <c r="I23" s="19"/>
      <c r="J23" s="19"/>
      <c r="K23" s="19"/>
      <c r="L23" s="19"/>
      <c r="M23" s="19"/>
      <c r="N23" s="19"/>
      <c r="O23" s="19"/>
      <c r="P23" s="19"/>
      <c r="Q23" s="19"/>
      <c r="R23" s="19"/>
      <c r="S23" s="19"/>
      <c r="T23" s="19"/>
      <c r="U23" s="19"/>
      <c r="V23" s="19"/>
      <c r="W23" s="19"/>
      <c r="X23" s="19"/>
      <c r="Y23" s="19"/>
    </row>
    <row r="24" spans="2:25" ht="18.25"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5"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5"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5"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5"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5"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5"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5"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5"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5"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5"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5"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5"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5"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5"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5"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5"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5"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5"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5" customHeight="1">
      <c r="B45" s="74" t="s">
        <v>311</v>
      </c>
      <c r="C45" s="75"/>
      <c r="D45" s="76">
        <f>COUNTA(F8:F42)</f>
        <v>5</v>
      </c>
      <c r="F45" s="19"/>
      <c r="G45" s="19"/>
      <c r="H45" s="19"/>
      <c r="I45" s="19"/>
      <c r="J45" s="19"/>
      <c r="K45" s="19"/>
      <c r="L45" s="19"/>
      <c r="M45" s="19"/>
      <c r="N45" s="19"/>
      <c r="O45" s="19"/>
      <c r="P45" s="19"/>
      <c r="Q45" s="19"/>
      <c r="R45" s="19"/>
      <c r="S45" s="19"/>
      <c r="T45" s="19"/>
      <c r="U45" s="19"/>
      <c r="V45" s="19"/>
      <c r="W45" s="19"/>
      <c r="X45" s="19"/>
    </row>
    <row r="46" spans="2:25" ht="18.25"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5" customHeight="1">
      <c r="B47" s="74" t="s">
        <v>312</v>
      </c>
      <c r="C47" s="75"/>
      <c r="D47" s="76">
        <f>D45-D49</f>
        <v>5</v>
      </c>
      <c r="E47" s="19"/>
      <c r="F47" s="19"/>
      <c r="G47" s="19"/>
      <c r="H47" s="19"/>
      <c r="I47" s="19"/>
      <c r="J47" s="19"/>
      <c r="K47" s="19"/>
      <c r="L47" s="19"/>
      <c r="M47" s="19"/>
      <c r="N47" s="19"/>
      <c r="O47" s="19"/>
      <c r="P47" s="19"/>
      <c r="Q47" s="19"/>
      <c r="R47" s="19"/>
      <c r="S47" s="19"/>
      <c r="T47" s="19"/>
      <c r="U47" s="19"/>
      <c r="V47" s="19"/>
      <c r="W47" s="19"/>
      <c r="X47" s="19"/>
    </row>
    <row r="48" spans="2:25" ht="16.75"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0</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49999999999999" customHeight="1">
      <c r="B52" s="74" t="s">
        <v>21</v>
      </c>
      <c r="C52" s="77"/>
      <c r="D52" s="63" t="str">
        <f>IF(AND(D49&gt;=0.1*D47,D49&gt;0, COUNTIF(E8:E42,"Página inicio"),   COUNTIF(E8:E42,"Declaración accesibilidad"),  COUNTA(C8:C42)=COUNTA(D8:D42),  COUNTA(C8:C42)=COUNTA(E8:E42),   COUNTA(C8:C42)=COUNTA(F8:F42), COUNTA(C8:C42)=COUNTA(G8:G42)    ),"SI","NO")</f>
        <v>NO</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784" priority="2">
      <formula>LEN(TRIM(F44))&gt;0</formula>
    </cfRule>
  </conditionalFormatting>
  <conditionalFormatting sqref="D52">
    <cfRule type="cellIs" dxfId="1783" priority="3" operator="equal">
      <formula>"SI"</formula>
    </cfRule>
    <cfRule type="cellIs" dxfId="1782" priority="4" operator="equal">
      <formula>"NO"</formula>
    </cfRule>
  </conditionalFormatting>
  <dataValidations count="1">
    <dataValidation type="list" operator="equal" allowBlank="1" showErrorMessage="1" errorTitle="Error" error="Debe seleccionar un tipo dentro del desplegable." sqref="D12:D42 D8:D1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E12:E42 E8:E10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zoomScale="70" zoomScaleNormal="70" workbookViewId="0">
      <selection activeCell="D99" sqref="D99"/>
    </sheetView>
  </sheetViews>
  <sheetFormatPr baseColWidth="10" defaultColWidth="11.54296875" defaultRowHeight="12.5"/>
  <cols>
    <col min="1" max="1" width="6.26953125" style="113" customWidth="1"/>
    <col min="2" max="2" width="16.1796875" style="14" customWidth="1"/>
    <col min="3" max="3" width="64.1796875" style="14" customWidth="1"/>
    <col min="4" max="4" width="18.26953125" style="113" customWidth="1"/>
    <col min="5" max="5" width="6.2695312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453125" style="14" customWidth="1"/>
    <col min="14" max="14" width="12.26953125" style="14" customWidth="1"/>
    <col min="15"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5" customHeight="1">
      <c r="A3" s="23"/>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5" customHeight="1">
      <c r="B7" s="19"/>
      <c r="C7" s="19"/>
      <c r="D7" s="19"/>
      <c r="E7" s="107"/>
      <c r="F7" s="19"/>
      <c r="G7" s="19"/>
      <c r="H7" s="19"/>
      <c r="I7" s="19"/>
      <c r="J7" s="19"/>
      <c r="K7" s="19"/>
      <c r="L7" s="19"/>
      <c r="M7" s="19"/>
      <c r="N7" s="19"/>
      <c r="O7" s="19"/>
    </row>
    <row r="8" spans="1:64" ht="19" customHeight="1">
      <c r="B8" s="111" t="s">
        <v>372</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3" t="s">
        <v>152</v>
      </c>
      <c r="C11" s="264"/>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15</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http://www.madrid.org/presupuestos</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Menu 1</v>
      </c>
      <c r="C20" s="220" t="str" cm="1">
        <f t="array" ref="C20">IFERROR(INDEX('03.Muestra'!$F$8:$F$42,SMALL(IF("Página Web"='03.Muestra'!$D$8:$D$42,ROW('03.Muestra'!$F$8:$F$42)-MIN(ROW('03.Muestra'!$D$8:$D$42))+1,""),ROW()-18)),"")</f>
        <v>http://www.madrid.org/presupuestos/index.php/presupuestos-generales/presupuestos-cm/2022</v>
      </c>
      <c r="D20" s="130" t="s">
        <v>35</v>
      </c>
      <c r="E20" s="107" t="str">
        <f t="shared" si="0"/>
        <v/>
      </c>
      <c r="F20" s="120">
        <f ca="1">COUNTIF($D19:INDIRECT("$D" &amp;  SUM(ROW()-1,'03.Muestra'!$D$45)-1),F19)</f>
        <v>0</v>
      </c>
      <c r="G20" s="120">
        <f ca="1">COUNTIF($D19:INDIRECT("$D" &amp;  SUM(ROW()-1,'03.Muestra'!$D$45)-1),G19)</f>
        <v>0</v>
      </c>
      <c r="H20" s="120">
        <f ca="1">COUNTIF($D19:INDIRECT("$D" &amp;  SUM(ROW()-1,'03.Muestra'!$D$45)-1),H19)</f>
        <v>5</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Menu 2</v>
      </c>
      <c r="C21" s="220" t="str" cm="1">
        <f t="array" ref="C21">IFERROR(INDEX('03.Muestra'!$F$8:$F$42,SMALL(IF("Página Web"='03.Muestra'!$D$8:$D$42,ROW('03.Muestra'!$F$8:$F$42)-MIN(ROW('03.Muestra'!$D$8:$D$42))+1,""),ROW()-18)),"")</f>
        <v>http://www.madrid.org/presupuestos/index.php/ejecucion-presupuestaria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Menu 3</v>
      </c>
      <c r="C22" s="220" t="str" cm="1">
        <f t="array" ref="C22">IFERROR(INDEX('03.Muestra'!$F$8:$F$42,SMALL(IF("Página Web"='03.Muestra'!$D$8:$D$42,ROW('03.Muestra'!$F$8:$F$42)-MIN(ROW('03.Muestra'!$D$8:$D$42))+1,""),ROW()-18)),"")</f>
        <v>http://www.madrid.org/presupuestos/index.php/transparencia</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Accesibilidad</v>
      </c>
      <c r="C23" s="220" t="str" cm="1">
        <f t="array" ref="C23">IFERROR(INDEX('03.Muestra'!$F$8:$F$42,SMALL(IF("Página Web"='03.Muestra'!$D$8:$D$42,ROW('03.Muestra'!$F$8:$F$42)-MIN(ROW('03.Muestra'!$D$8:$D$42))+1,""),ROW()-18)),"")</f>
        <v>http://www.madrid.org/presupuestos/index.php/accesibilidad-web</v>
      </c>
      <c r="D23" s="130" t="s">
        <v>35</v>
      </c>
      <c r="E23" s="107" t="str">
        <f t="shared" si="0"/>
        <v/>
      </c>
      <c r="F23" s="122"/>
      <c r="G23" s="19"/>
      <c r="H23" s="19"/>
      <c r="I23" s="19"/>
      <c r="K23" s="117" t="s">
        <v>35</v>
      </c>
      <c r="L23" s="121" t="s">
        <v>36</v>
      </c>
    </row>
    <row r="24" spans="1:30" ht="12" customHeight="1">
      <c r="A24" s="219" t="str" cm="1">
        <f t="array" ref="A24">IFERROR(INDEX('03.Muestra'!$B$8:$B$42,SMALL(IF("Página Web"='03.Muestra'!$D$8:$D$42,ROW('03.Muestra'!$B$8:$B$42)-MIN(ROW('03.Muestra'!$D$8:$D$42))+1,""),ROW()-18)),"")</f>
        <v/>
      </c>
      <c r="B24" s="220" t="str" cm="1">
        <f t="array" ref="B24">IFERROR(INDEX('03.Muestra'!$C$8:$C$42,SMALL(IF("Página Web"='03.Muestra'!$D$8:$D$42,ROW('03.Muestra'!$C$8:$C$42)-MIN(ROW('03.Muestra'!$D$8:$D$42))+1,""),ROW()-18)),"")</f>
        <v/>
      </c>
      <c r="C24" s="220" t="str" cm="1">
        <f t="array" ref="C24">IFERROR(INDEX('03.Muestra'!$F$8:$F$42,SMALL(IF("Página Web"='03.Muestra'!$D$8:$D$42,ROW('03.Muestra'!$F$8:$F$42)-MIN(ROW('03.Muestra'!$D$8:$D$42))+1,""),ROW()-18)),"")</f>
        <v/>
      </c>
      <c r="D24" s="130"/>
      <c r="E24" s="107" t="str">
        <f t="shared" si="0"/>
        <v/>
      </c>
      <c r="F24" s="19"/>
      <c r="G24" s="19"/>
      <c r="H24" s="19"/>
      <c r="I24" s="19"/>
      <c r="K24" s="116" t="s">
        <v>37</v>
      </c>
      <c r="L24" s="121" t="s">
        <v>38</v>
      </c>
      <c r="AD24" s="19"/>
    </row>
    <row r="25" spans="1:30" ht="12" customHeight="1">
      <c r="A25" s="219" t="str" cm="1">
        <f t="array" ref="A25">IFERROR(INDEX('03.Muestra'!$B$8:$B$42,SMALL(IF("Página Web"='03.Muestra'!$D$8:$D$42,ROW('03.Muestra'!$B$8:$B$42)-MIN(ROW('03.Muestra'!$D$8:$D$42))+1,""),ROW()-18)),"")</f>
        <v/>
      </c>
      <c r="B25" s="220" t="str" cm="1">
        <f t="array" ref="B25">IFERROR(INDEX('03.Muestra'!$C$8:$C$42,SMALL(IF("Página Web"='03.Muestra'!$D$8:$D$42,ROW('03.Muestra'!$C$8:$C$42)-MIN(ROW('03.Muestra'!$D$8:$D$42))+1,""),ROW()-18)),"")</f>
        <v/>
      </c>
      <c r="C25" s="220" t="str" cm="1">
        <f t="array" ref="C25">IFERROR(INDEX('03.Muestra'!$F$8:$F$42,SMALL(IF("Página Web"='03.Muestra'!$D$8:$D$42,ROW('03.Muestra'!$F$8:$F$42)-MIN(ROW('03.Muestra'!$D$8:$D$42))+1,""),ROW()-18)),"")</f>
        <v/>
      </c>
      <c r="D25" s="130" t="str">
        <f t="shared" ref="D25:D53" si="1">IF(AND(B25&lt;&gt;"",C25&lt;&gt;""),"N/T","")</f>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220" t="str" cm="1">
        <f t="array" ref="B26">IFERROR(INDEX('03.Muestra'!$C$8:$C$42,SMALL(IF("Página Web"='03.Muestra'!$D$8:$D$42,ROW('03.Muestra'!$C$8:$C$42)-MIN(ROW('03.Muestra'!$D$8:$D$42))+1,""),ROW()-18)),"")</f>
        <v/>
      </c>
      <c r="C26" s="220"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220" t="str" cm="1">
        <f t="array" ref="B27">IFERROR(INDEX('03.Muestra'!$C$8:$C$42,SMALL(IF("Página Web"='03.Muestra'!$D$8:$D$42,ROW('03.Muestra'!$C$8:$C$42)-MIN(ROW('03.Muestra'!$D$8:$D$42))+1,""),ROW()-18)),"")</f>
        <v/>
      </c>
      <c r="C27" s="220"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220" t="str" cm="1">
        <f t="array" ref="B28">IFERROR(INDEX('03.Muestra'!$C$8:$C$42,SMALL(IF("Página Web"='03.Muestra'!$D$8:$D$42,ROW('03.Muestra'!$C$8:$C$42)-MIN(ROW('03.Muestra'!$D$8:$D$42))+1,""),ROW()-18)),"")</f>
        <v/>
      </c>
      <c r="C28" s="220"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220" t="str" cm="1">
        <f t="array" ref="B29">IFERROR(INDEX('03.Muestra'!$C$8:$C$42,SMALL(IF("Página Web"='03.Muestra'!$D$8:$D$42,ROW('03.Muestra'!$C$8:$C$42)-MIN(ROW('03.Muestra'!$D$8:$D$42))+1,""),ROW()-18)),"")</f>
        <v/>
      </c>
      <c r="C29" s="220"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220" t="str" cm="1">
        <f t="array" ref="B30">IFERROR(INDEX('03.Muestra'!$C$8:$C$42,SMALL(IF("Página Web"='03.Muestra'!$D$8:$D$42,ROW('03.Muestra'!$C$8:$C$42)-MIN(ROW('03.Muestra'!$D$8:$D$42))+1,""),ROW()-18)),"")</f>
        <v/>
      </c>
      <c r="C30" s="220"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220" t="str" cm="1">
        <f t="array" ref="B31">IFERROR(INDEX('03.Muestra'!$C$8:$C$42,SMALL(IF("Página Web"='03.Muestra'!$D$8:$D$42,ROW('03.Muestra'!$C$8:$C$42)-MIN(ROW('03.Muestra'!$D$8:$D$42))+1,""),ROW()-18)),"")</f>
        <v/>
      </c>
      <c r="C31" s="220"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220" t="str" cm="1">
        <f t="array" ref="B32">IFERROR(INDEX('03.Muestra'!$C$8:$C$42,SMALL(IF("Página Web"='03.Muestra'!$D$8:$D$42,ROW('03.Muestra'!$C$8:$C$42)-MIN(ROW('03.Muestra'!$D$8:$D$42))+1,""),ROW()-18)),"")</f>
        <v/>
      </c>
      <c r="C32" s="220"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220" t="str" cm="1">
        <f t="array" ref="B33">IFERROR(INDEX('03.Muestra'!$C$8:$C$42,SMALL(IF("Página Web"='03.Muestra'!$D$8:$D$42,ROW('03.Muestra'!$C$8:$C$42)-MIN(ROW('03.Muestra'!$D$8:$D$42))+1,""),ROW()-18)),"")</f>
        <v/>
      </c>
      <c r="C33" s="220"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220" t="str" cm="1">
        <f t="array" ref="B34">IFERROR(INDEX('03.Muestra'!$C$8:$C$42,SMALL(IF("Página Web"='03.Muestra'!$D$8:$D$42,ROW('03.Muestra'!$C$8:$C$42)-MIN(ROW('03.Muestra'!$D$8:$D$42))+1,""),ROW()-18)),"")</f>
        <v/>
      </c>
      <c r="C34" s="220"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http://www.madrid.org/presupuestos</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Menu 1</v>
      </c>
      <c r="C58" s="221" t="str" cm="1">
        <f t="array" ref="C58">IFERROR(INDEX('03.Muestra'!$F$8:$F$42,SMALL(IF("Página Web"='03.Muestra'!$D$8:$D$42,ROW('03.Muestra'!$F$8:$F$42)-MIN(ROW('03.Muestra'!$D$8:$D$42))+1,""),ROW()-56)),"")</f>
        <v>http://www.madrid.org/presupuestos/index.php/presupuestos-generales/presupuestos-cm/2022</v>
      </c>
      <c r="D58" s="130" t="s">
        <v>35</v>
      </c>
      <c r="E58" s="107" t="str">
        <f t="shared" si="2"/>
        <v/>
      </c>
      <c r="F58" s="120">
        <f ca="1">COUNTIF($D57:INDIRECT("$D" &amp;  SUM(ROW()-1,'03.Muestra'!$D$45)-1),F57)</f>
        <v>0</v>
      </c>
      <c r="G58" s="120">
        <f ca="1">COUNTIF($D57:INDIRECT("$D" &amp;  SUM(ROW()-1,'03.Muestra'!$D$45)-1),G57)</f>
        <v>0</v>
      </c>
      <c r="H58" s="120">
        <f ca="1">COUNTIF($D57:INDIRECT("$D" &amp;  SUM(ROW()-1,'03.Muestra'!$D$45)-1),H57)</f>
        <v>5</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Menu 2</v>
      </c>
      <c r="C59" s="221" t="str" cm="1">
        <f t="array" ref="C59">IFERROR(INDEX('03.Muestra'!$F$8:$F$42,SMALL(IF("Página Web"='03.Muestra'!$D$8:$D$42,ROW('03.Muestra'!$F$8:$F$42)-MIN(ROW('03.Muestra'!$D$8:$D$42))+1,""),ROW()-56)),"")</f>
        <v>http://www.madrid.org/presupuestos/index.php/ejecucion-presupuestaria</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Menu 3</v>
      </c>
      <c r="C60" s="221" t="str" cm="1">
        <f t="array" ref="C60">IFERROR(INDEX('03.Muestra'!$F$8:$F$42,SMALL(IF("Página Web"='03.Muestra'!$D$8:$D$42,ROW('03.Muestra'!$F$8:$F$42)-MIN(ROW('03.Muestra'!$D$8:$D$42))+1,""),ROW()-56)),"")</f>
        <v>http://www.madrid.org/presupuestos/index.php/transparencia</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Accesibilidad</v>
      </c>
      <c r="C61" s="221" t="str" cm="1">
        <f t="array" ref="C61">IFERROR(INDEX('03.Muestra'!$F$8:$F$42,SMALL(IF("Página Web"='03.Muestra'!$D$8:$D$42,ROW('03.Muestra'!$F$8:$F$42)-MIN(ROW('03.Muestra'!$D$8:$D$42))+1,""),ROW()-56)),"")</f>
        <v>http://www.madrid.org/presupuestos/index.php/accesibilidad-web</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t="str" cm="1">
        <f t="array" ref="A62">IFERROR(INDEX('03.Muestra'!$B$8:$B$42,SMALL(IF("Página Web"='03.Muestra'!$D$8:$D$42,ROW('03.Muestra'!$B$8:$B$42)-MIN(ROW('03.Muestra'!$D$8:$D$42))+1,""),ROW()-56)),"")</f>
        <v/>
      </c>
      <c r="B62" s="221" t="str" cm="1">
        <f t="array" ref="B62">IFERROR(INDEX('03.Muestra'!$C$8:$C$42,SMALL(IF("Página Web"='03.Muestra'!$D$8:$D$42,ROW('03.Muestra'!$C$8:$C$42)-MIN(ROW('03.Muestra'!$D$8:$D$42))+1,""),ROW()-56)),"")</f>
        <v/>
      </c>
      <c r="C62" s="221" t="str" cm="1">
        <f t="array" ref="C62">IFERROR(INDEX('03.Muestra'!$F$8:$F$42,SMALL(IF("Página Web"='03.Muestra'!$D$8:$D$42,ROW('03.Muestra'!$F$8:$F$42)-MIN(ROW('03.Muestra'!$D$8:$D$42))+1,""),ROW()-56)),"")</f>
        <v/>
      </c>
      <c r="D62" s="130"/>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t="str" cm="1">
        <f t="array" ref="A63">IFERROR(INDEX('03.Muestra'!$B$8:$B$42,SMALL(IF("Página Web"='03.Muestra'!$D$8:$D$42,ROW('03.Muestra'!$B$8:$B$42)-MIN(ROW('03.Muestra'!$D$8:$D$42))+1,""),ROW()-56)),"")</f>
        <v/>
      </c>
      <c r="B63" s="221" t="str" cm="1">
        <f t="array" ref="B63">IFERROR(INDEX('03.Muestra'!$C$8:$C$42,SMALL(IF("Página Web"='03.Muestra'!$D$8:$D$42,ROW('03.Muestra'!$C$8:$C$42)-MIN(ROW('03.Muestra'!$D$8:$D$42))+1,""),ROW()-56)),"")</f>
        <v/>
      </c>
      <c r="C63" s="221" t="str" cm="1">
        <f t="array" ref="C63">IFERROR(INDEX('03.Muestra'!$F$8:$F$42,SMALL(IF("Página Web"='03.Muestra'!$D$8:$D$42,ROW('03.Muestra'!$F$8:$F$42)-MIN(ROW('03.Muestra'!$D$8:$D$42))+1,""),ROW()-56)),"")</f>
        <v/>
      </c>
      <c r="D63" s="130"/>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t="str" cm="1">
        <f t="array" ref="A64">IFERROR(INDEX('03.Muestra'!$B$8:$B$42,SMALL(IF("Página Web"='03.Muestra'!$D$8:$D$42,ROW('03.Muestra'!$B$8:$B$42)-MIN(ROW('03.Muestra'!$D$8:$D$42))+1,""),ROW()-56)),"")</f>
        <v/>
      </c>
      <c r="B64" s="221" t="str" cm="1">
        <f t="array" ref="B64">IFERROR(INDEX('03.Muestra'!$C$8:$C$42,SMALL(IF("Página Web"='03.Muestra'!$D$8:$D$42,ROW('03.Muestra'!$C$8:$C$42)-MIN(ROW('03.Muestra'!$D$8:$D$42))+1,""),ROW()-56)),"")</f>
        <v/>
      </c>
      <c r="C64" s="221" t="str" cm="1">
        <f t="array" ref="C64">IFERROR(INDEX('03.Muestra'!$F$8:$F$42,SMALL(IF("Página Web"='03.Muestra'!$D$8:$D$42,ROW('03.Muestra'!$F$8:$F$42)-MIN(ROW('03.Muestra'!$D$8:$D$42))+1,""),ROW()-56)),"")</f>
        <v/>
      </c>
      <c r="D64" s="130" t="str">
        <f t="shared" ref="D64:D91" si="3">IF(AND(B64&lt;&gt;"",C64&lt;&gt;""),"N/T","")</f>
        <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t="str" cm="1">
        <f t="array" ref="A65">IFERROR(INDEX('03.Muestra'!$B$8:$B$42,SMALL(IF("Página Web"='03.Muestra'!$D$8:$D$42,ROW('03.Muestra'!$B$8:$B$42)-MIN(ROW('03.Muestra'!$D$8:$D$42))+1,""),ROW()-56)),"")</f>
        <v/>
      </c>
      <c r="B65" s="221" t="str" cm="1">
        <f t="array" ref="B65">IFERROR(INDEX('03.Muestra'!$C$8:$C$42,SMALL(IF("Página Web"='03.Muestra'!$D$8:$D$42,ROW('03.Muestra'!$C$8:$C$42)-MIN(ROW('03.Muestra'!$D$8:$D$42))+1,""),ROW()-56)),"")</f>
        <v/>
      </c>
      <c r="C65" s="221" t="str" cm="1">
        <f t="array" ref="C65">IFERROR(INDEX('03.Muestra'!$F$8:$F$42,SMALL(IF("Página Web"='03.Muestra'!$D$8:$D$42,ROW('03.Muestra'!$F$8:$F$42)-MIN(ROW('03.Muestra'!$D$8:$D$42))+1,""),ROW()-56)),"")</f>
        <v/>
      </c>
      <c r="D65" s="130" t="str">
        <f t="shared" si="3"/>
        <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t="str" cm="1">
        <f t="array" ref="A66">IFERROR(INDEX('03.Muestra'!$B$8:$B$42,SMALL(IF("Página Web"='03.Muestra'!$D$8:$D$42,ROW('03.Muestra'!$B$8:$B$42)-MIN(ROW('03.Muestra'!$D$8:$D$42))+1,""),ROW()-56)),"")</f>
        <v/>
      </c>
      <c r="B66" s="221" t="str" cm="1">
        <f t="array" ref="B66">IFERROR(INDEX('03.Muestra'!$C$8:$C$42,SMALL(IF("Página Web"='03.Muestra'!$D$8:$D$42,ROW('03.Muestra'!$C$8:$C$42)-MIN(ROW('03.Muestra'!$D$8:$D$42))+1,""),ROW()-56)),"")</f>
        <v/>
      </c>
      <c r="C66" s="221" t="str" cm="1">
        <f t="array" ref="C66">IFERROR(INDEX('03.Muestra'!$F$8:$F$42,SMALL(IF("Página Web"='03.Muestra'!$D$8:$D$42,ROW('03.Muestra'!$F$8:$F$42)-MIN(ROW('03.Muestra'!$D$8:$D$42))+1,""),ROW()-56)),"")</f>
        <v/>
      </c>
      <c r="D66" s="130" t="str">
        <f t="shared" si="3"/>
        <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t="str" cm="1">
        <f t="array" ref="A67">IFERROR(INDEX('03.Muestra'!$B$8:$B$42,SMALL(IF("Página Web"='03.Muestra'!$D$8:$D$42,ROW('03.Muestra'!$B$8:$B$42)-MIN(ROW('03.Muestra'!$D$8:$D$42))+1,""),ROW()-56)),"")</f>
        <v/>
      </c>
      <c r="B67" s="221" t="str" cm="1">
        <f t="array" ref="B67">IFERROR(INDEX('03.Muestra'!$C$8:$C$42,SMALL(IF("Página Web"='03.Muestra'!$D$8:$D$42,ROW('03.Muestra'!$C$8:$C$42)-MIN(ROW('03.Muestra'!$D$8:$D$42))+1,""),ROW()-56)),"")</f>
        <v/>
      </c>
      <c r="C67" s="221" t="str" cm="1">
        <f t="array" ref="C67">IFERROR(INDEX('03.Muestra'!$F$8:$F$42,SMALL(IF("Página Web"='03.Muestra'!$D$8:$D$42,ROW('03.Muestra'!$F$8:$F$42)-MIN(ROW('03.Muestra'!$D$8:$D$42))+1,""),ROW()-56)),"")</f>
        <v/>
      </c>
      <c r="D67" s="130" t="str">
        <f t="shared" si="3"/>
        <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t="str" cm="1">
        <f t="array" ref="A68">IFERROR(INDEX('03.Muestra'!$B$8:$B$42,SMALL(IF("Página Web"='03.Muestra'!$D$8:$D$42,ROW('03.Muestra'!$B$8:$B$42)-MIN(ROW('03.Muestra'!$D$8:$D$42))+1,""),ROW()-56)),"")</f>
        <v/>
      </c>
      <c r="B68" s="221" t="str" cm="1">
        <f t="array" ref="B68">IFERROR(INDEX('03.Muestra'!$C$8:$C$42,SMALL(IF("Página Web"='03.Muestra'!$D$8:$D$42,ROW('03.Muestra'!$C$8:$C$42)-MIN(ROW('03.Muestra'!$D$8:$D$42))+1,""),ROW()-56)),"")</f>
        <v/>
      </c>
      <c r="C68" s="221" t="str" cm="1">
        <f t="array" ref="C68">IFERROR(INDEX('03.Muestra'!$F$8:$F$42,SMALL(IF("Página Web"='03.Muestra'!$D$8:$D$42,ROW('03.Muestra'!$F$8:$F$42)-MIN(ROW('03.Muestra'!$D$8:$D$42))+1,""),ROW()-56)),"")</f>
        <v/>
      </c>
      <c r="D68" s="130" t="str">
        <f t="shared" si="3"/>
        <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t="str" cm="1">
        <f t="array" ref="A69">IFERROR(INDEX('03.Muestra'!$B$8:$B$42,SMALL(IF("Página Web"='03.Muestra'!$D$8:$D$42,ROW('03.Muestra'!$B$8:$B$42)-MIN(ROW('03.Muestra'!$D$8:$D$42))+1,""),ROW()-56)),"")</f>
        <v/>
      </c>
      <c r="B69" s="221" t="str" cm="1">
        <f t="array" ref="B69">IFERROR(INDEX('03.Muestra'!$C$8:$C$42,SMALL(IF("Página Web"='03.Muestra'!$D$8:$D$42,ROW('03.Muestra'!$C$8:$C$42)-MIN(ROW('03.Muestra'!$D$8:$D$42))+1,""),ROW()-56)),"")</f>
        <v/>
      </c>
      <c r="C69" s="221" t="str" cm="1">
        <f t="array" ref="C69">IFERROR(INDEX('03.Muestra'!$F$8:$F$42,SMALL(IF("Página Web"='03.Muestra'!$D$8:$D$42,ROW('03.Muestra'!$F$8:$F$42)-MIN(ROW('03.Muestra'!$D$8:$D$42))+1,""),ROW()-56)),"")</f>
        <v/>
      </c>
      <c r="D69" s="130" t="str">
        <f t="shared" si="3"/>
        <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t="str" cm="1">
        <f t="array" ref="A70">IFERROR(INDEX('03.Muestra'!$B$8:$B$42,SMALL(IF("Página Web"='03.Muestra'!$D$8:$D$42,ROW('03.Muestra'!$B$8:$B$42)-MIN(ROW('03.Muestra'!$D$8:$D$42))+1,""),ROW()-56)),"")</f>
        <v/>
      </c>
      <c r="B70" s="221" t="str" cm="1">
        <f t="array" ref="B70">IFERROR(INDEX('03.Muestra'!$C$8:$C$42,SMALL(IF("Página Web"='03.Muestra'!$D$8:$D$42,ROW('03.Muestra'!$C$8:$C$42)-MIN(ROW('03.Muestra'!$D$8:$D$42))+1,""),ROW()-56)),"")</f>
        <v/>
      </c>
      <c r="C70" s="221" t="str" cm="1">
        <f t="array" ref="C70">IFERROR(INDEX('03.Muestra'!$F$8:$F$42,SMALL(IF("Página Web"='03.Muestra'!$D$8:$D$42,ROW('03.Muestra'!$F$8:$F$42)-MIN(ROW('03.Muestra'!$D$8:$D$42))+1,""),ROW()-56)),"")</f>
        <v/>
      </c>
      <c r="D70" s="130" t="str">
        <f t="shared" si="3"/>
        <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t="str" cm="1">
        <f t="array" ref="A71">IFERROR(INDEX('03.Muestra'!$B$8:$B$42,SMALL(IF("Página Web"='03.Muestra'!$D$8:$D$42,ROW('03.Muestra'!$B$8:$B$42)-MIN(ROW('03.Muestra'!$D$8:$D$42))+1,""),ROW()-56)),"")</f>
        <v/>
      </c>
      <c r="B71" s="221" t="str" cm="1">
        <f t="array" ref="B71">IFERROR(INDEX('03.Muestra'!$C$8:$C$42,SMALL(IF("Página Web"='03.Muestra'!$D$8:$D$42,ROW('03.Muestra'!$C$8:$C$42)-MIN(ROW('03.Muestra'!$D$8:$D$42))+1,""),ROW()-56)),"")</f>
        <v/>
      </c>
      <c r="C71" s="221" t="str" cm="1">
        <f t="array" ref="C71">IFERROR(INDEX('03.Muestra'!$F$8:$F$42,SMALL(IF("Página Web"='03.Muestra'!$D$8:$D$42,ROW('03.Muestra'!$F$8:$F$42)-MIN(ROW('03.Muestra'!$D$8:$D$42))+1,""),ROW()-56)),"")</f>
        <v/>
      </c>
      <c r="D71" s="130" t="str">
        <f t="shared" si="3"/>
        <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t="str" cm="1">
        <f t="array" ref="A72">IFERROR(INDEX('03.Muestra'!$B$8:$B$42,SMALL(IF("Página Web"='03.Muestra'!$D$8:$D$42,ROW('03.Muestra'!$B$8:$B$42)-MIN(ROW('03.Muestra'!$D$8:$D$42))+1,""),ROW()-56)),"")</f>
        <v/>
      </c>
      <c r="B72" s="221" t="str" cm="1">
        <f t="array" ref="B72">IFERROR(INDEX('03.Muestra'!$C$8:$C$42,SMALL(IF("Página Web"='03.Muestra'!$D$8:$D$42,ROW('03.Muestra'!$C$8:$C$42)-MIN(ROW('03.Muestra'!$D$8:$D$42))+1,""),ROW()-56)),"")</f>
        <v/>
      </c>
      <c r="C72" s="221" t="str" cm="1">
        <f t="array" ref="C72">IFERROR(INDEX('03.Muestra'!$F$8:$F$42,SMALL(IF("Página Web"='03.Muestra'!$D$8:$D$42,ROW('03.Muestra'!$F$8:$F$42)-MIN(ROW('03.Muestra'!$D$8:$D$42))+1,""),ROW()-56)),"")</f>
        <v/>
      </c>
      <c r="D72" s="130" t="str">
        <f t="shared" si="3"/>
        <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si="3"/>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http://www.madrid.org/presupuestos</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Menu 1</v>
      </c>
      <c r="C96" s="221" t="str" cm="1">
        <f t="array" ref="C96">IFERROR(INDEX('03.Muestra'!$F$8:$F$42,SMALL(IF("Página Web"='03.Muestra'!$D$8:$D$42,ROW('03.Muestra'!$F$8:$F$42)-MIN(ROW('03.Muestra'!$D$8:$D$42))+1,""),ROW()-94)),"")</f>
        <v>http://www.madrid.org/presupuestos/index.php/presupuestos-generales/presupuestos-cm/2022</v>
      </c>
      <c r="D96" s="130" t="s">
        <v>35</v>
      </c>
      <c r="E96" s="107" t="str">
        <f t="shared" si="4"/>
        <v/>
      </c>
      <c r="F96" s="120">
        <f ca="1">COUNTIF($D95:INDIRECT("$D" &amp;  SUM(ROW()-1,'03.Muestra'!$D$45)-1),F95)</f>
        <v>0</v>
      </c>
      <c r="G96" s="120">
        <f ca="1">COUNTIF($D95:INDIRECT("$D" &amp;  SUM(ROW()-1,'03.Muestra'!$D$45)-1),G95)</f>
        <v>0</v>
      </c>
      <c r="H96" s="120">
        <f ca="1">COUNTIF($D95:INDIRECT("$D" &amp;  SUM(ROW()-1,'03.Muestra'!$D$45)-1),H95)</f>
        <v>5</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Menu 2</v>
      </c>
      <c r="C97" s="221" t="str" cm="1">
        <f t="array" ref="C97">IFERROR(INDEX('03.Muestra'!$F$8:$F$42,SMALL(IF("Página Web"='03.Muestra'!$D$8:$D$42,ROW('03.Muestra'!$F$8:$F$42)-MIN(ROW('03.Muestra'!$D$8:$D$42))+1,""),ROW()-94)),"")</f>
        <v>http://www.madrid.org/presupuestos/index.php/ejecucion-presupuestaria</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Menu 3</v>
      </c>
      <c r="C98" s="221" t="str" cm="1">
        <f t="array" ref="C98">IFERROR(INDEX('03.Muestra'!$F$8:$F$42,SMALL(IF("Página Web"='03.Muestra'!$D$8:$D$42,ROW('03.Muestra'!$F$8:$F$42)-MIN(ROW('03.Muestra'!$D$8:$D$42))+1,""),ROW()-94)),"")</f>
        <v>http://www.madrid.org/presupuestos/index.php/transparencia</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Accesibilidad</v>
      </c>
      <c r="C99" s="221" t="str" cm="1">
        <f t="array" ref="C99">IFERROR(INDEX('03.Muestra'!$F$8:$F$42,SMALL(IF("Página Web"='03.Muestra'!$D$8:$D$42,ROW('03.Muestra'!$F$8:$F$42)-MIN(ROW('03.Muestra'!$D$8:$D$42))+1,""),ROW()-94)),"")</f>
        <v>http://www.madrid.org/presupuestos/index.php/accesibilidad-web</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t="str" cm="1">
        <f t="array" ref="A100">IFERROR(INDEX('03.Muestra'!$B$8:$B$42,SMALL(IF("Página Web"='03.Muestra'!$D$8:$D$42,ROW('03.Muestra'!$B$8:$B$42)-MIN(ROW('03.Muestra'!$D$8:$D$42))+1,""),ROW()-94)),"")</f>
        <v/>
      </c>
      <c r="B100" s="221" t="str" cm="1">
        <f t="array" ref="B100">IFERROR(INDEX('03.Muestra'!$C$8:$C$42,SMALL(IF("Página Web"='03.Muestra'!$D$8:$D$42,ROW('03.Muestra'!$C$8:$C$42)-MIN(ROW('03.Muestra'!$D$8:$D$42))+1,""),ROW()-94)),"")</f>
        <v/>
      </c>
      <c r="C100" s="221" t="str" cm="1">
        <f t="array" ref="C100">IFERROR(INDEX('03.Muestra'!$F$8:$F$42,SMALL(IF("Página Web"='03.Muestra'!$D$8:$D$42,ROW('03.Muestra'!$F$8:$F$42)-MIN(ROW('03.Muestra'!$D$8:$D$42))+1,""),ROW()-94)),"")</f>
        <v/>
      </c>
      <c r="D100" s="130"/>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t="str" cm="1">
        <f t="array" ref="A101">IFERROR(INDEX('03.Muestra'!$B$8:$B$42,SMALL(IF("Página Web"='03.Muestra'!$D$8:$D$42,ROW('03.Muestra'!$B$8:$B$42)-MIN(ROW('03.Muestra'!$D$8:$D$42))+1,""),ROW()-94)),"")</f>
        <v/>
      </c>
      <c r="B101" s="221" t="str" cm="1">
        <f t="array" ref="B101">IFERROR(INDEX('03.Muestra'!$C$8:$C$42,SMALL(IF("Página Web"='03.Muestra'!$D$8:$D$42,ROW('03.Muestra'!$C$8:$C$42)-MIN(ROW('03.Muestra'!$D$8:$D$42))+1,""),ROW()-94)),"")</f>
        <v/>
      </c>
      <c r="C101" s="221" t="str" cm="1">
        <f t="array" ref="C101">IFERROR(INDEX('03.Muestra'!$F$8:$F$42,SMALL(IF("Página Web"='03.Muestra'!$D$8:$D$42,ROW('03.Muestra'!$F$8:$F$42)-MIN(ROW('03.Muestra'!$D$8:$D$42))+1,""),ROW()-94)),"")</f>
        <v/>
      </c>
      <c r="D101" s="130" t="str">
        <f t="shared" ref="D101:D129" si="5">IF(AND(B101&lt;&gt;"",C101&lt;&gt;""),"N/T","")</f>
        <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t="str" cm="1">
        <f t="array" ref="A102">IFERROR(INDEX('03.Muestra'!$B$8:$B$42,SMALL(IF("Página Web"='03.Muestra'!$D$8:$D$42,ROW('03.Muestra'!$B$8:$B$42)-MIN(ROW('03.Muestra'!$D$8:$D$42))+1,""),ROW()-94)),"")</f>
        <v/>
      </c>
      <c r="B102" s="221" t="str" cm="1">
        <f t="array" ref="B102">IFERROR(INDEX('03.Muestra'!$C$8:$C$42,SMALL(IF("Página Web"='03.Muestra'!$D$8:$D$42,ROW('03.Muestra'!$C$8:$C$42)-MIN(ROW('03.Muestra'!$D$8:$D$42))+1,""),ROW()-94)),"")</f>
        <v/>
      </c>
      <c r="C102" s="221" t="str" cm="1">
        <f t="array" ref="C102">IFERROR(INDEX('03.Muestra'!$F$8:$F$42,SMALL(IF("Página Web"='03.Muestra'!$D$8:$D$42,ROW('03.Muestra'!$F$8:$F$42)-MIN(ROW('03.Muestra'!$D$8:$D$42))+1,""),ROW()-94)),"")</f>
        <v/>
      </c>
      <c r="D102" s="130" t="str">
        <f t="shared" si="5"/>
        <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t="str" cm="1">
        <f t="array" ref="A103">IFERROR(INDEX('03.Muestra'!$B$8:$B$42,SMALL(IF("Página Web"='03.Muestra'!$D$8:$D$42,ROW('03.Muestra'!$B$8:$B$42)-MIN(ROW('03.Muestra'!$D$8:$D$42))+1,""),ROW()-94)),"")</f>
        <v/>
      </c>
      <c r="B103" s="221" t="str" cm="1">
        <f t="array" ref="B103">IFERROR(INDEX('03.Muestra'!$C$8:$C$42,SMALL(IF("Página Web"='03.Muestra'!$D$8:$D$42,ROW('03.Muestra'!$C$8:$C$42)-MIN(ROW('03.Muestra'!$D$8:$D$42))+1,""),ROW()-94)),"")</f>
        <v/>
      </c>
      <c r="C103" s="221" t="str" cm="1">
        <f t="array" ref="C103">IFERROR(INDEX('03.Muestra'!$F$8:$F$42,SMALL(IF("Página Web"='03.Muestra'!$D$8:$D$42,ROW('03.Muestra'!$F$8:$F$42)-MIN(ROW('03.Muestra'!$D$8:$D$42))+1,""),ROW()-94)),"")</f>
        <v/>
      </c>
      <c r="D103" s="130" t="str">
        <f t="shared" si="5"/>
        <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t="str" cm="1">
        <f t="array" ref="A104">IFERROR(INDEX('03.Muestra'!$B$8:$B$42,SMALL(IF("Página Web"='03.Muestra'!$D$8:$D$42,ROW('03.Muestra'!$B$8:$B$42)-MIN(ROW('03.Muestra'!$D$8:$D$42))+1,""),ROW()-94)),"")</f>
        <v/>
      </c>
      <c r="B104" s="221" t="str" cm="1">
        <f t="array" ref="B104">IFERROR(INDEX('03.Muestra'!$C$8:$C$42,SMALL(IF("Página Web"='03.Muestra'!$D$8:$D$42,ROW('03.Muestra'!$C$8:$C$42)-MIN(ROW('03.Muestra'!$D$8:$D$42))+1,""),ROW()-94)),"")</f>
        <v/>
      </c>
      <c r="C104" s="221" t="str" cm="1">
        <f t="array" ref="C104">IFERROR(INDEX('03.Muestra'!$F$8:$F$42,SMALL(IF("Página Web"='03.Muestra'!$D$8:$D$42,ROW('03.Muestra'!$F$8:$F$42)-MIN(ROW('03.Muestra'!$D$8:$D$42))+1,""),ROW()-94)),"")</f>
        <v/>
      </c>
      <c r="D104" s="130" t="str">
        <f t="shared" si="5"/>
        <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t="str" cm="1">
        <f t="array" ref="A105">IFERROR(INDEX('03.Muestra'!$B$8:$B$42,SMALL(IF("Página Web"='03.Muestra'!$D$8:$D$42,ROW('03.Muestra'!$B$8:$B$42)-MIN(ROW('03.Muestra'!$D$8:$D$42))+1,""),ROW()-94)),"")</f>
        <v/>
      </c>
      <c r="B105" s="221" t="str" cm="1">
        <f t="array" ref="B105">IFERROR(INDEX('03.Muestra'!$C$8:$C$42,SMALL(IF("Página Web"='03.Muestra'!$D$8:$D$42,ROW('03.Muestra'!$C$8:$C$42)-MIN(ROW('03.Muestra'!$D$8:$D$42))+1,""),ROW()-94)),"")</f>
        <v/>
      </c>
      <c r="C105" s="221" t="str" cm="1">
        <f t="array" ref="C105">IFERROR(INDEX('03.Muestra'!$F$8:$F$42,SMALL(IF("Página Web"='03.Muestra'!$D$8:$D$42,ROW('03.Muestra'!$F$8:$F$42)-MIN(ROW('03.Muestra'!$D$8:$D$42))+1,""),ROW()-94)),"")</f>
        <v/>
      </c>
      <c r="D105" s="130" t="str">
        <f t="shared" si="5"/>
        <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t="str" cm="1">
        <f t="array" ref="A106">IFERROR(INDEX('03.Muestra'!$B$8:$B$42,SMALL(IF("Página Web"='03.Muestra'!$D$8:$D$42,ROW('03.Muestra'!$B$8:$B$42)-MIN(ROW('03.Muestra'!$D$8:$D$42))+1,""),ROW()-94)),"")</f>
        <v/>
      </c>
      <c r="B106" s="221" t="str" cm="1">
        <f t="array" ref="B106">IFERROR(INDEX('03.Muestra'!$C$8:$C$42,SMALL(IF("Página Web"='03.Muestra'!$D$8:$D$42,ROW('03.Muestra'!$C$8:$C$42)-MIN(ROW('03.Muestra'!$D$8:$D$42))+1,""),ROW()-94)),"")</f>
        <v/>
      </c>
      <c r="C106" s="221" t="str" cm="1">
        <f t="array" ref="C106">IFERROR(INDEX('03.Muestra'!$F$8:$F$42,SMALL(IF("Página Web"='03.Muestra'!$D$8:$D$42,ROW('03.Muestra'!$F$8:$F$42)-MIN(ROW('03.Muestra'!$D$8:$D$42))+1,""),ROW()-94)),"")</f>
        <v/>
      </c>
      <c r="D106" s="130" t="str">
        <f t="shared" si="5"/>
        <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5" customHeight="1">
      <c r="A107" s="222" t="str" cm="1">
        <f t="array" ref="A107">IFERROR(INDEX('03.Muestra'!$B$8:$B$42,SMALL(IF("Página Web"='03.Muestra'!$D$8:$D$42,ROW('03.Muestra'!$B$8:$B$42)-MIN(ROW('03.Muestra'!$D$8:$D$42))+1,""),ROW()-94)),"")</f>
        <v/>
      </c>
      <c r="B107" s="221" t="str" cm="1">
        <f t="array" ref="B107">IFERROR(INDEX('03.Muestra'!$C$8:$C$42,SMALL(IF("Página Web"='03.Muestra'!$D$8:$D$42,ROW('03.Muestra'!$C$8:$C$42)-MIN(ROW('03.Muestra'!$D$8:$D$42))+1,""),ROW()-94)),"")</f>
        <v/>
      </c>
      <c r="C107" s="221" t="str" cm="1">
        <f t="array" ref="C107">IFERROR(INDEX('03.Muestra'!$F$8:$F$42,SMALL(IF("Página Web"='03.Muestra'!$D$8:$D$42,ROW('03.Muestra'!$F$8:$F$42)-MIN(ROW('03.Muestra'!$D$8:$D$42))+1,""),ROW()-94)),"")</f>
        <v/>
      </c>
      <c r="D107" s="130" t="str">
        <f t="shared" si="5"/>
        <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5" customHeight="1">
      <c r="A108" s="222" t="str" cm="1">
        <f t="array" ref="A108">IFERROR(INDEX('03.Muestra'!$B$8:$B$42,SMALL(IF("Página Web"='03.Muestra'!$D$8:$D$42,ROW('03.Muestra'!$B$8:$B$42)-MIN(ROW('03.Muestra'!$D$8:$D$42))+1,""),ROW()-94)),"")</f>
        <v/>
      </c>
      <c r="B108" s="221" t="str" cm="1">
        <f t="array" ref="B108">IFERROR(INDEX('03.Muestra'!$C$8:$C$42,SMALL(IF("Página Web"='03.Muestra'!$D$8:$D$42,ROW('03.Muestra'!$C$8:$C$42)-MIN(ROW('03.Muestra'!$D$8:$D$42))+1,""),ROW()-94)),"")</f>
        <v/>
      </c>
      <c r="C108" s="221" t="str" cm="1">
        <f t="array" ref="C108">IFERROR(INDEX('03.Muestra'!$F$8:$F$42,SMALL(IF("Página Web"='03.Muestra'!$D$8:$D$42,ROW('03.Muestra'!$F$8:$F$42)-MIN(ROW('03.Muestra'!$D$8:$D$42))+1,""),ROW()-94)),"")</f>
        <v/>
      </c>
      <c r="D108" s="130" t="str">
        <f t="shared" si="5"/>
        <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5" customHeight="1">
      <c r="A109" s="222" t="str" cm="1">
        <f t="array" ref="A109">IFERROR(INDEX('03.Muestra'!$B$8:$B$42,SMALL(IF("Página Web"='03.Muestra'!$D$8:$D$42,ROW('03.Muestra'!$B$8:$B$42)-MIN(ROW('03.Muestra'!$D$8:$D$42))+1,""),ROW()-94)),"")</f>
        <v/>
      </c>
      <c r="B109" s="221" t="str" cm="1">
        <f t="array" ref="B109">IFERROR(INDEX('03.Muestra'!$C$8:$C$42,SMALL(IF("Página Web"='03.Muestra'!$D$8:$D$42,ROW('03.Muestra'!$C$8:$C$42)-MIN(ROW('03.Muestra'!$D$8:$D$42))+1,""),ROW()-94)),"")</f>
        <v/>
      </c>
      <c r="C109" s="221" t="str" cm="1">
        <f t="array" ref="C109">IFERROR(INDEX('03.Muestra'!$F$8:$F$42,SMALL(IF("Página Web"='03.Muestra'!$D$8:$D$42,ROW('03.Muestra'!$F$8:$F$42)-MIN(ROW('03.Muestra'!$D$8:$D$42))+1,""),ROW()-94)),"")</f>
        <v/>
      </c>
      <c r="D109" s="130" t="str">
        <f t="shared" si="5"/>
        <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5" customHeight="1">
      <c r="A110" s="222" t="str" cm="1">
        <f t="array" ref="A110">IFERROR(INDEX('03.Muestra'!$B$8:$B$42,SMALL(IF("Página Web"='03.Muestra'!$D$8:$D$42,ROW('03.Muestra'!$B$8:$B$42)-MIN(ROW('03.Muestra'!$D$8:$D$42))+1,""),ROW()-94)),"")</f>
        <v/>
      </c>
      <c r="B110" s="221" t="str" cm="1">
        <f t="array" ref="B110">IFERROR(INDEX('03.Muestra'!$C$8:$C$42,SMALL(IF("Página Web"='03.Muestra'!$D$8:$D$42,ROW('03.Muestra'!$C$8:$C$42)-MIN(ROW('03.Muestra'!$D$8:$D$42))+1,""),ROW()-94)),"")</f>
        <v/>
      </c>
      <c r="C110" s="221" t="str" cm="1">
        <f t="array" ref="C110">IFERROR(INDEX('03.Muestra'!$F$8:$F$42,SMALL(IF("Página Web"='03.Muestra'!$D$8:$D$42,ROW('03.Muestra'!$F$8:$F$42)-MIN(ROW('03.Muestra'!$D$8:$D$42))+1,""),ROW()-94)),"")</f>
        <v/>
      </c>
      <c r="D110" s="130" t="str">
        <f t="shared" si="5"/>
        <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5"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si="5"/>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5"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5"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5"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5"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5"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5"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781" priority="154" stopIfTrue="1" operator="equal">
      <formula>"ERR"</formula>
    </cfRule>
  </conditionalFormatting>
  <conditionalFormatting sqref="F19:J19 F57:J57 F95:J95 D19:D53 D57:D91 D95:D129">
    <cfRule type="expression" dxfId="1780" priority="148" stopIfTrue="1">
      <formula>ISBLANK(D19)</formula>
    </cfRule>
    <cfRule type="cellIs" dxfId="1779" priority="149" stopIfTrue="1" operator="equal">
      <formula>"Pasa"</formula>
    </cfRule>
    <cfRule type="cellIs" dxfId="1778" priority="150" stopIfTrue="1" operator="equal">
      <formula>"Falla"</formula>
    </cfRule>
    <cfRule type="cellIs" dxfId="1777" priority="151" stopIfTrue="1" operator="equal">
      <formula>"N/A"</formula>
    </cfRule>
    <cfRule type="cellIs" dxfId="1776" priority="152" stopIfTrue="1" operator="equal">
      <formula>"N/T"</formula>
    </cfRule>
    <cfRule type="cellIs" dxfId="1775" priority="153" stopIfTrue="1" operator="equal">
      <formula>"N/D"</formula>
    </cfRule>
  </conditionalFormatting>
  <conditionalFormatting sqref="D1:D8 D10:D1048576">
    <cfRule type="cellIs" dxfId="1774" priority="20" stopIfTrue="1" operator="equal">
      <formula>"-"</formula>
    </cfRule>
  </conditionalFormatting>
  <conditionalFormatting sqref="K23">
    <cfRule type="expression" dxfId="1773" priority="7" stopIfTrue="1">
      <formula>ISBLANK(K23)</formula>
    </cfRule>
    <cfRule type="cellIs" dxfId="1772" priority="8" stopIfTrue="1" operator="equal">
      <formula>"Pasa"</formula>
    </cfRule>
    <cfRule type="cellIs" dxfId="1771" priority="9" stopIfTrue="1" operator="equal">
      <formula>"Falla"</formula>
    </cfRule>
    <cfRule type="cellIs" dxfId="1770" priority="10" stopIfTrue="1" operator="equal">
      <formula>"N/A"</formula>
    </cfRule>
    <cfRule type="cellIs" dxfId="1769" priority="11" stopIfTrue="1" operator="equal">
      <formula>"N/T"</formula>
    </cfRule>
    <cfRule type="cellIs" dxfId="1768" priority="12" stopIfTrue="1" operator="equal">
      <formula>"N/D"</formula>
    </cfRule>
  </conditionalFormatting>
  <conditionalFormatting sqref="K24">
    <cfRule type="expression" dxfId="1767" priority="1" stopIfTrue="1">
      <formula>ISBLANK(K24)</formula>
    </cfRule>
    <cfRule type="cellIs" dxfId="1766" priority="2" stopIfTrue="1" operator="equal">
      <formula>"Pasa"</formula>
    </cfRule>
    <cfRule type="cellIs" dxfId="1765" priority="3" stopIfTrue="1" operator="equal">
      <formula>"Falla"</formula>
    </cfRule>
    <cfRule type="cellIs" dxfId="1764" priority="4" stopIfTrue="1" operator="equal">
      <formula>"N/A"</formula>
    </cfRule>
    <cfRule type="cellIs" dxfId="1763" priority="5" stopIfTrue="1" operator="equal">
      <formula>"N/T"</formula>
    </cfRule>
    <cfRule type="cellIs" dxfId="1762"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zoomScale="77" zoomScaleNormal="77" workbookViewId="0">
      <selection activeCell="D707" sqref="D707"/>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358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5"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95</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http://www.madrid.org/presupuestos</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Menu 1</v>
      </c>
      <c r="C20" s="114" t="str" cm="1">
        <f t="array" ref="C20">IFERROR(INDEX('03.Muestra'!$F$8:$F$42,SMALL(IF("Página Web"='03.Muestra'!$D$8:$D$42,ROW('03.Muestra'!$F$8:$F$42)-MIN(ROW('03.Muestra'!$D$8:$D$42))+1,""),ROW()-18)),"")</f>
        <v>http://www.madrid.org/presupuestos/index.php/presupuestos-generales/presupuestos-cm/2022</v>
      </c>
      <c r="D20" s="130" t="s">
        <v>35</v>
      </c>
      <c r="E20" s="107" t="str">
        <f t="shared" si="0"/>
        <v/>
      </c>
      <c r="F20" s="120">
        <f ca="1">COUNTIF($D19:INDIRECT("$D" &amp;  SUM(ROW()-1,'03.Muestra'!$D$45)-1),F19)</f>
        <v>0</v>
      </c>
      <c r="G20" s="120">
        <f ca="1">COUNTIF($D19:INDIRECT("$D" &amp;  SUM(ROW()-1,'03.Muestra'!$D$45)-1),G19)</f>
        <v>0</v>
      </c>
      <c r="H20" s="120">
        <f ca="1">COUNTIF($D19:INDIRECT("$D" &amp;  SUM(ROW()-1,'03.Muestra'!$D$45)-1),H19)</f>
        <v>5</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Menu 2</v>
      </c>
      <c r="C21" s="114" t="str" cm="1">
        <f t="array" ref="C21">IFERROR(INDEX('03.Muestra'!$F$8:$F$42,SMALL(IF("Página Web"='03.Muestra'!$D$8:$D$42,ROW('03.Muestra'!$F$8:$F$42)-MIN(ROW('03.Muestra'!$D$8:$D$42))+1,""),ROW()-18)),"")</f>
        <v>http://www.madrid.org/presupuestos/index.php/ejecucion-presupuestaria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Menu 3</v>
      </c>
      <c r="C22" s="114" t="str" cm="1">
        <f t="array" ref="C22">IFERROR(INDEX('03.Muestra'!$F$8:$F$42,SMALL(IF("Página Web"='03.Muestra'!$D$8:$D$42,ROW('03.Muestra'!$F$8:$F$42)-MIN(ROW('03.Muestra'!$D$8:$D$42))+1,""),ROW()-18)),"")</f>
        <v>http://www.madrid.org/presupuestos/index.php/transparencia</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Accesibilidad</v>
      </c>
      <c r="C23" s="114" t="str" cm="1">
        <f t="array" ref="C23">IFERROR(INDEX('03.Muestra'!$F$8:$F$42,SMALL(IF("Página Web"='03.Muestra'!$D$8:$D$42,ROW('03.Muestra'!$F$8:$F$42)-MIN(ROW('03.Muestra'!$D$8:$D$42))+1,""),ROW()-18)),"")</f>
        <v>http://www.madrid.org/presupuestos/index.php/accesibilidad-web</v>
      </c>
      <c r="D23" s="130" t="s">
        <v>35</v>
      </c>
      <c r="E23" s="107" t="str">
        <f t="shared" si="0"/>
        <v/>
      </c>
      <c r="F23" s="122"/>
      <c r="G23" s="19"/>
      <c r="H23" s="19"/>
      <c r="I23" s="19"/>
      <c r="K23" s="117" t="s">
        <v>35</v>
      </c>
      <c r="L23" s="121" t="s">
        <v>36</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c r="E24" s="107" t="str">
        <f t="shared" si="0"/>
        <v/>
      </c>
      <c r="F24" s="19"/>
      <c r="G24" s="19"/>
      <c r="H24" s="19"/>
      <c r="I24" s="19"/>
      <c r="K24" s="116" t="s">
        <v>37</v>
      </c>
      <c r="L24" s="121" t="s">
        <v>38</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ref="D25:D53" si="1">IF(AND(B25&lt;&gt;"",C25&lt;&gt;""),"N/T","")</f>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http://www.madrid.org/presupuestos</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Menu 1</v>
      </c>
      <c r="C58" s="114" t="str" cm="1">
        <f t="array" ref="C58">IFERROR(INDEX('03.Muestra'!$F$8:$F$42,SMALL(IF("Página Web"='03.Muestra'!$D$8:$D$42,ROW('03.Muestra'!$F$8:$F$42)-MIN(ROW('03.Muestra'!$D$8:$D$42))+1,""),ROW()-56)),"")</f>
        <v>http://www.madrid.org/presupuestos/index.php/presupuestos-generales/presupuestos-cm/2022</v>
      </c>
      <c r="D58" s="130" t="s">
        <v>35</v>
      </c>
      <c r="E58" s="107" t="str">
        <f t="shared" si="2"/>
        <v/>
      </c>
      <c r="F58" s="120">
        <f ca="1">COUNTIF($D57:INDIRECT("$D" &amp;  SUM(ROW()-1,'03.Muestra'!$D$45)-1),F57)</f>
        <v>0</v>
      </c>
      <c r="G58" s="120">
        <f ca="1">COUNTIF($D57:INDIRECT("$D" &amp;  SUM(ROW()-1,'03.Muestra'!$D$45)-1),G57)</f>
        <v>0</v>
      </c>
      <c r="H58" s="120">
        <f ca="1">COUNTIF($D57:INDIRECT("$D" &amp;  SUM(ROW()-1,'03.Muestra'!$D$45)-1),H57)</f>
        <v>5</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Menu 2</v>
      </c>
      <c r="C59" s="114" t="str" cm="1">
        <f t="array" ref="C59">IFERROR(INDEX('03.Muestra'!$F$8:$F$42,SMALL(IF("Página Web"='03.Muestra'!$D$8:$D$42,ROW('03.Muestra'!$F$8:$F$42)-MIN(ROW('03.Muestra'!$D$8:$D$42))+1,""),ROW()-56)),"")</f>
        <v>http://www.madrid.org/presupuestos/index.php/ejecucion-presupuestaria</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Menu 3</v>
      </c>
      <c r="C60" s="114" t="str" cm="1">
        <f t="array" ref="C60">IFERROR(INDEX('03.Muestra'!$F$8:$F$42,SMALL(IF("Página Web"='03.Muestra'!$D$8:$D$42,ROW('03.Muestra'!$F$8:$F$42)-MIN(ROW('03.Muestra'!$D$8:$D$42))+1,""),ROW()-56)),"")</f>
        <v>http://www.madrid.org/presupuestos/index.php/transparencia</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Accesibilidad</v>
      </c>
      <c r="C61" s="114" t="str" cm="1">
        <f t="array" ref="C61">IFERROR(INDEX('03.Muestra'!$F$8:$F$42,SMALL(IF("Página Web"='03.Muestra'!$D$8:$D$42,ROW('03.Muestra'!$F$8:$F$42)-MIN(ROW('03.Muestra'!$D$8:$D$42))+1,""),ROW()-56)),"")</f>
        <v>http://www.madrid.org/presupuestos/index.php/accesibilidad-web</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ref="D64:D91" si="3">IF(AND(B64&lt;&gt;"",C64&lt;&gt;""),"N/T","")</f>
        <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http://www.madrid.org/presupuestos</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Menu 1</v>
      </c>
      <c r="C96" s="114" t="str" cm="1">
        <f t="array" ref="C96">IFERROR(INDEX('03.Muestra'!$F$8:$F$42,SMALL(IF("Página Web"='03.Muestra'!$D$8:$D$42,ROW('03.Muestra'!$F$8:$F$42)-MIN(ROW('03.Muestra'!$D$8:$D$42))+1,""),ROW()-94)),"")</f>
        <v>http://www.madrid.org/presupuestos/index.php/presupuestos-generales/presupuestos-cm/2022</v>
      </c>
      <c r="D96" s="130" t="s">
        <v>35</v>
      </c>
      <c r="E96" s="107" t="str">
        <f t="shared" si="4"/>
        <v/>
      </c>
      <c r="F96" s="120">
        <f ca="1">COUNTIF($D95:INDIRECT("$D" &amp;  SUM(ROW()-1,'03.Muestra'!$D$45)-1),F95)</f>
        <v>0</v>
      </c>
      <c r="G96" s="120">
        <f ca="1">COUNTIF($D95:INDIRECT("$D" &amp;  SUM(ROW()-1,'03.Muestra'!$D$45)-1),G95)</f>
        <v>0</v>
      </c>
      <c r="H96" s="120">
        <f ca="1">COUNTIF($D95:INDIRECT("$D" &amp;  SUM(ROW()-1,'03.Muestra'!$D$45)-1),H95)</f>
        <v>5</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Menu 2</v>
      </c>
      <c r="C97" s="114" t="str" cm="1">
        <f t="array" ref="C97">IFERROR(INDEX('03.Muestra'!$F$8:$F$42,SMALL(IF("Página Web"='03.Muestra'!$D$8:$D$42,ROW('03.Muestra'!$F$8:$F$42)-MIN(ROW('03.Muestra'!$D$8:$D$42))+1,""),ROW()-94)),"")</f>
        <v>http://www.madrid.org/presupuestos/index.php/ejecucion-presupuestaria</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Menu 3</v>
      </c>
      <c r="C98" s="114" t="str" cm="1">
        <f t="array" ref="C98">IFERROR(INDEX('03.Muestra'!$F$8:$F$42,SMALL(IF("Página Web"='03.Muestra'!$D$8:$D$42,ROW('03.Muestra'!$F$8:$F$42)-MIN(ROW('03.Muestra'!$D$8:$D$42))+1,""),ROW()-94)),"")</f>
        <v>http://www.madrid.org/presupuestos/index.php/transparencia</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Accesibilidad</v>
      </c>
      <c r="C99" s="114" t="str" cm="1">
        <f t="array" ref="C99">IFERROR(INDEX('03.Muestra'!$F$8:$F$42,SMALL(IF("Página Web"='03.Muestra'!$D$8:$D$42,ROW('03.Muestra'!$F$8:$F$42)-MIN(ROW('03.Muestra'!$D$8:$D$42))+1,""),ROW()-94)),"")</f>
        <v>http://www.madrid.org/presupuestos/index.php/accesibilidad-web</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t="str">
        <f t="shared" ref="D100:D129" si="5">IF(AND(B100&lt;&gt;"",C100&lt;&gt;""),"N/T","")</f>
        <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si="5"/>
        <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http://www.madrid.org/presupuestos</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Menu 1</v>
      </c>
      <c r="C134" s="114" t="str" cm="1">
        <f t="array" ref="C134">IFERROR(INDEX('03.Muestra'!$F$8:$F$42,SMALL(IF("Página Web"='03.Muestra'!$D$8:$D$42,ROW('03.Muestra'!$F$8:$F$42)-MIN(ROW('03.Muestra'!$D$8:$D$42))+1,""),ROW()-132)),"")</f>
        <v>http://www.madrid.org/presupuestos/index.php/presupuestos-generales/presupuestos-cm/2022</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5</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Menu 2</v>
      </c>
      <c r="C135" s="114" t="str" cm="1">
        <f t="array" ref="C135">IFERROR(INDEX('03.Muestra'!$F$8:$F$42,SMALL(IF("Página Web"='03.Muestra'!$D$8:$D$42,ROW('03.Muestra'!$F$8:$F$42)-MIN(ROW('03.Muestra'!$D$8:$D$42))+1,""),ROW()-132)),"")</f>
        <v>http://www.madrid.org/presupuestos/index.php/ejecucion-presupuestaria</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Menu 3</v>
      </c>
      <c r="C136" s="114" t="str" cm="1">
        <f t="array" ref="C136">IFERROR(INDEX('03.Muestra'!$F$8:$F$42,SMALL(IF("Página Web"='03.Muestra'!$D$8:$D$42,ROW('03.Muestra'!$F$8:$F$42)-MIN(ROW('03.Muestra'!$D$8:$D$42))+1,""),ROW()-132)),"")</f>
        <v>http://www.madrid.org/presupuestos/index.php/transparencia</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Accesibilidad</v>
      </c>
      <c r="C137" s="114" t="str" cm="1">
        <f t="array" ref="C137">IFERROR(INDEX('03.Muestra'!$F$8:$F$42,SMALL(IF("Página Web"='03.Muestra'!$D$8:$D$42,ROW('03.Muestra'!$F$8:$F$42)-MIN(ROW('03.Muestra'!$D$8:$D$42))+1,""),ROW()-132)),"")</f>
        <v>http://www.madrid.org/presupuestos/index.php/accesibilidad-web</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ref="D138:D167" si="7">IF(AND(B138&lt;&gt;"",C138&lt;&gt;""),"N/T","")</f>
        <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http://www.madrid.org/presupuestos</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Menu 1</v>
      </c>
      <c r="C172" s="114" t="str" cm="1">
        <f t="array" ref="C172">IFERROR(INDEX('03.Muestra'!$F$8:$F$42,SMALL(IF("Página Web"='03.Muestra'!$D$8:$D$42,ROW('03.Muestra'!$F$8:$F$42)-MIN(ROW('03.Muestra'!$D$8:$D$42))+1,""),ROW()-170)),"")</f>
        <v>http://www.madrid.org/presupuestos/index.php/presupuestos-generales/presupuestos-cm/2022</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5</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Menu 2</v>
      </c>
      <c r="C173" s="114" t="str" cm="1">
        <f t="array" ref="C173">IFERROR(INDEX('03.Muestra'!$F$8:$F$42,SMALL(IF("Página Web"='03.Muestra'!$D$8:$D$42,ROW('03.Muestra'!$F$8:$F$42)-MIN(ROW('03.Muestra'!$D$8:$D$42))+1,""),ROW()-170)),"")</f>
        <v>http://www.madrid.org/presupuestos/index.php/ejecucion-presupuestaria</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Menu 3</v>
      </c>
      <c r="C174" s="114" t="str" cm="1">
        <f t="array" ref="C174">IFERROR(INDEX('03.Muestra'!$F$8:$F$42,SMALL(IF("Página Web"='03.Muestra'!$D$8:$D$42,ROW('03.Muestra'!$F$8:$F$42)-MIN(ROW('03.Muestra'!$D$8:$D$42))+1,""),ROW()-170)),"")</f>
        <v>http://www.madrid.org/presupuestos/index.php/transparencia</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Accesibilidad</v>
      </c>
      <c r="C175" s="114" t="str" cm="1">
        <f t="array" ref="C175">IFERROR(INDEX('03.Muestra'!$F$8:$F$42,SMALL(IF("Página Web"='03.Muestra'!$D$8:$D$42,ROW('03.Muestra'!$F$8:$F$42)-MIN(ROW('03.Muestra'!$D$8:$D$42))+1,""),ROW()-170)),"")</f>
        <v>http://www.madrid.org/presupuestos/index.php/accesibilidad-web</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ref="D177:D205" si="9">IF(AND(B177&lt;&gt;"",C177&lt;&gt;""),"N/T","")</f>
        <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http://www.madrid.org/presupuestos</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Menu 1</v>
      </c>
      <c r="C210" s="114" t="str" cm="1">
        <f t="array" ref="C210">IFERROR(INDEX('03.Muestra'!$F$8:$F$42,SMALL(IF("Página Web"='03.Muestra'!$D$8:$D$42,ROW('03.Muestra'!$F$8:$F$42)-MIN(ROW('03.Muestra'!$D$8:$D$42))+1,""),ROW()-208)),"")</f>
        <v>http://www.madrid.org/presupuestos/index.php/presupuestos-generales/presupuestos-cm/2022</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5</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Menu 2</v>
      </c>
      <c r="C211" s="114" t="str" cm="1">
        <f t="array" ref="C211">IFERROR(INDEX('03.Muestra'!$F$8:$F$42,SMALL(IF("Página Web"='03.Muestra'!$D$8:$D$42,ROW('03.Muestra'!$F$8:$F$42)-MIN(ROW('03.Muestra'!$D$8:$D$42))+1,""),ROW()-208)),"")</f>
        <v>http://www.madrid.org/presupuestos/index.php/ejecucion-presupuestaria</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Menu 3</v>
      </c>
      <c r="C212" s="114" t="str" cm="1">
        <f t="array" ref="C212">IFERROR(INDEX('03.Muestra'!$F$8:$F$42,SMALL(IF("Página Web"='03.Muestra'!$D$8:$D$42,ROW('03.Muestra'!$F$8:$F$42)-MIN(ROW('03.Muestra'!$D$8:$D$42))+1,""),ROW()-208)),"")</f>
        <v>http://www.madrid.org/presupuestos/index.php/transparencia</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Accesibilidad</v>
      </c>
      <c r="C213" s="114" t="str" cm="1">
        <f t="array" ref="C213">IFERROR(INDEX('03.Muestra'!$F$8:$F$42,SMALL(IF("Página Web"='03.Muestra'!$D$8:$D$42,ROW('03.Muestra'!$F$8:$F$42)-MIN(ROW('03.Muestra'!$D$8:$D$42))+1,""),ROW()-208)),"")</f>
        <v>http://www.madrid.org/presupuestos/index.php/accesibilidad-web</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ref="D215:D243" si="11">IF(AND(B215&lt;&gt;"",C215&lt;&gt;""),"N/T","")</f>
        <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http://www.madrid.org/presupuestos</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Menu 1</v>
      </c>
      <c r="C248" s="114" t="str" cm="1">
        <f t="array" ref="C248">IFERROR(INDEX('03.Muestra'!$F$8:$F$42,SMALL(IF("Página Web"='03.Muestra'!$D$8:$D$42,ROW('03.Muestra'!$F$8:$F$42)-MIN(ROW('03.Muestra'!$D$8:$D$42))+1,""),ROW()-246)),"")</f>
        <v>http://www.madrid.org/presupuestos/index.php/presupuestos-generales/presupuestos-cm/2022</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5</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Menu 2</v>
      </c>
      <c r="C249" s="114" t="str" cm="1">
        <f t="array" ref="C249">IFERROR(INDEX('03.Muestra'!$F$8:$F$42,SMALL(IF("Página Web"='03.Muestra'!$D$8:$D$42,ROW('03.Muestra'!$F$8:$F$42)-MIN(ROW('03.Muestra'!$D$8:$D$42))+1,""),ROW()-246)),"")</f>
        <v>http://www.madrid.org/presupuestos/index.php/ejecucion-presupuestaria</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Menu 3</v>
      </c>
      <c r="C250" s="114" t="str" cm="1">
        <f t="array" ref="C250">IFERROR(INDEX('03.Muestra'!$F$8:$F$42,SMALL(IF("Página Web"='03.Muestra'!$D$8:$D$42,ROW('03.Muestra'!$F$8:$F$42)-MIN(ROW('03.Muestra'!$D$8:$D$42))+1,""),ROW()-246)),"")</f>
        <v>http://www.madrid.org/presupuestos/index.php/transparencia</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Accesibilidad</v>
      </c>
      <c r="C251" s="114" t="str" cm="1">
        <f t="array" ref="C251">IFERROR(INDEX('03.Muestra'!$F$8:$F$42,SMALL(IF("Página Web"='03.Muestra'!$D$8:$D$42,ROW('03.Muestra'!$F$8:$F$42)-MIN(ROW('03.Muestra'!$D$8:$D$42))+1,""),ROW()-246)),"")</f>
        <v>http://www.madrid.org/presupuestos/index.php/accesibilidad-web</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t="str" cm="1">
        <f t="array" ref="A252">IFERROR(INDEX('03.Muestra'!$B$8:$B$42,SMALL(IF("Página Web"='03.Muestra'!$D$8:$D$42,ROW('03.Muestra'!$B$8:$B$42)-MIN(ROW('03.Muestra'!$D$8:$D$42))+1,""),ROW()-246)),"")</f>
        <v/>
      </c>
      <c r="B252" s="114" t="str" cm="1">
        <f t="array" ref="B252">IFERROR(INDEX('03.Muestra'!$C$8:$C$42,SMALL(IF("Página Web"='03.Muestra'!$D$8:$D$42,ROW('03.Muestra'!$C$8:$C$42)-MIN(ROW('03.Muestra'!$D$8:$D$42))+1,""),ROW()-246)),"")</f>
        <v/>
      </c>
      <c r="C252" s="114" t="str" cm="1">
        <f t="array" ref="C252">IFERROR(INDEX('03.Muestra'!$F$8:$F$42,SMALL(IF("Página Web"='03.Muestra'!$D$8:$D$42,ROW('03.Muestra'!$F$8:$F$42)-MIN(ROW('03.Muestra'!$D$8:$D$42))+1,""),ROW()-246)),"")</f>
        <v/>
      </c>
      <c r="D252" s="130"/>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t="str" cm="1">
        <f t="array" ref="A253">IFERROR(INDEX('03.Muestra'!$B$8:$B$42,SMALL(IF("Página Web"='03.Muestra'!$D$8:$D$42,ROW('03.Muestra'!$B$8:$B$42)-MIN(ROW('03.Muestra'!$D$8:$D$42))+1,""),ROW()-246)),"")</f>
        <v/>
      </c>
      <c r="B253" s="114" t="str" cm="1">
        <f t="array" ref="B253">IFERROR(INDEX('03.Muestra'!$C$8:$C$42,SMALL(IF("Página Web"='03.Muestra'!$D$8:$D$42,ROW('03.Muestra'!$C$8:$C$42)-MIN(ROW('03.Muestra'!$D$8:$D$42))+1,""),ROW()-246)),"")</f>
        <v/>
      </c>
      <c r="C253" s="114" t="str" cm="1">
        <f t="array" ref="C253">IFERROR(INDEX('03.Muestra'!$F$8:$F$42,SMALL(IF("Página Web"='03.Muestra'!$D$8:$D$42,ROW('03.Muestra'!$F$8:$F$42)-MIN(ROW('03.Muestra'!$D$8:$D$42))+1,""),ROW()-246)),"")</f>
        <v/>
      </c>
      <c r="D253" s="130" t="str">
        <f t="shared" ref="D253:D281" si="13">IF(AND(B253&lt;&gt;"",C253&lt;&gt;""),"N/T","")</f>
        <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IFERROR(INDEX('03.Muestra'!$B$8:$B$42,SMALL(IF("Página Web"='03.Muestra'!$D$8:$D$42,ROW('03.Muestra'!$B$8:$B$42)-MIN(ROW('03.Muestra'!$D$8:$D$42))+1,""),ROW()-246)),"")</f>
        <v/>
      </c>
      <c r="B254" s="114" t="str" cm="1">
        <f t="array" ref="B254">IFERROR(INDEX('03.Muestra'!$C$8:$C$42,SMALL(IF("Página Web"='03.Muestra'!$D$8:$D$42,ROW('03.Muestra'!$C$8:$C$42)-MIN(ROW('03.Muestra'!$D$8:$D$42))+1,""),ROW()-246)),"")</f>
        <v/>
      </c>
      <c r="C254" s="114" t="str" cm="1">
        <f t="array" ref="C254">IFERROR(INDEX('03.Muestra'!$F$8:$F$42,SMALL(IF("Página Web"='03.Muestra'!$D$8:$D$42,ROW('03.Muestra'!$F$8:$F$42)-MIN(ROW('03.Muestra'!$D$8:$D$42))+1,""),ROW()-246)),"")</f>
        <v/>
      </c>
      <c r="D254" s="130" t="str">
        <f t="shared" si="13"/>
        <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IFERROR(INDEX('03.Muestra'!$B$8:$B$42,SMALL(IF("Página Web"='03.Muestra'!$D$8:$D$42,ROW('03.Muestra'!$B$8:$B$42)-MIN(ROW('03.Muestra'!$D$8:$D$42))+1,""),ROW()-246)),"")</f>
        <v/>
      </c>
      <c r="B255" s="114" t="str" cm="1">
        <f t="array" ref="B255">IFERROR(INDEX('03.Muestra'!$C$8:$C$42,SMALL(IF("Página Web"='03.Muestra'!$D$8:$D$42,ROW('03.Muestra'!$C$8:$C$42)-MIN(ROW('03.Muestra'!$D$8:$D$42))+1,""),ROW()-246)),"")</f>
        <v/>
      </c>
      <c r="C255" s="114" t="str" cm="1">
        <f t="array" ref="C255">IFERROR(INDEX('03.Muestra'!$F$8:$F$42,SMALL(IF("Página Web"='03.Muestra'!$D$8:$D$42,ROW('03.Muestra'!$F$8:$F$42)-MIN(ROW('03.Muestra'!$D$8:$D$42))+1,""),ROW()-246)),"")</f>
        <v/>
      </c>
      <c r="D255" s="130" t="str">
        <f t="shared" si="13"/>
        <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IFERROR(INDEX('03.Muestra'!$B$8:$B$42,SMALL(IF("Página Web"='03.Muestra'!$D$8:$D$42,ROW('03.Muestra'!$B$8:$B$42)-MIN(ROW('03.Muestra'!$D$8:$D$42))+1,""),ROW()-246)),"")</f>
        <v/>
      </c>
      <c r="B256" s="114" t="str" cm="1">
        <f t="array" ref="B256">IFERROR(INDEX('03.Muestra'!$C$8:$C$42,SMALL(IF("Página Web"='03.Muestra'!$D$8:$D$42,ROW('03.Muestra'!$C$8:$C$42)-MIN(ROW('03.Muestra'!$D$8:$D$42))+1,""),ROW()-246)),"")</f>
        <v/>
      </c>
      <c r="C256" s="114" t="str" cm="1">
        <f t="array" ref="C256">IFERROR(INDEX('03.Muestra'!$F$8:$F$42,SMALL(IF("Página Web"='03.Muestra'!$D$8:$D$42,ROW('03.Muestra'!$F$8:$F$42)-MIN(ROW('03.Muestra'!$D$8:$D$42))+1,""),ROW()-246)),"")</f>
        <v/>
      </c>
      <c r="D256" s="130" t="str">
        <f t="shared" si="13"/>
        <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si="13"/>
        <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http://www.madrid.org/presupuestos</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Menu 1</v>
      </c>
      <c r="C286" s="114" t="str" cm="1">
        <f t="array" ref="C286">IFERROR(INDEX('03.Muestra'!$F$8:$F$42,SMALL(IF("Página Web"='03.Muestra'!$D$8:$D$42,ROW('03.Muestra'!$F$8:$F$42)-MIN(ROW('03.Muestra'!$D$8:$D$42))+1,""),ROW()-284)),"")</f>
        <v>http://www.madrid.org/presupuestos/index.php/presupuestos-generales/presupuestos-cm/2022</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5</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Menu 2</v>
      </c>
      <c r="C287" s="114" t="str" cm="1">
        <f t="array" ref="C287">IFERROR(INDEX('03.Muestra'!$F$8:$F$42,SMALL(IF("Página Web"='03.Muestra'!$D$8:$D$42,ROW('03.Muestra'!$F$8:$F$42)-MIN(ROW('03.Muestra'!$D$8:$D$42))+1,""),ROW()-284)),"")</f>
        <v>http://www.madrid.org/presupuestos/index.php/ejecucion-presupuestaria</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Menu 3</v>
      </c>
      <c r="C288" s="114" t="str" cm="1">
        <f t="array" ref="C288">IFERROR(INDEX('03.Muestra'!$F$8:$F$42,SMALL(IF("Página Web"='03.Muestra'!$D$8:$D$42,ROW('03.Muestra'!$F$8:$F$42)-MIN(ROW('03.Muestra'!$D$8:$D$42))+1,""),ROW()-284)),"")</f>
        <v>http://www.madrid.org/presupuestos/index.php/transparencia</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Accesibilidad</v>
      </c>
      <c r="C289" s="114" t="str" cm="1">
        <f t="array" ref="C289">IFERROR(INDEX('03.Muestra'!$F$8:$F$42,SMALL(IF("Página Web"='03.Muestra'!$D$8:$D$42,ROW('03.Muestra'!$F$8:$F$42)-MIN(ROW('03.Muestra'!$D$8:$D$42))+1,""),ROW()-284)),"")</f>
        <v>http://www.madrid.org/presupuestos/index.php/accesibilidad-web</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t="str" cm="1">
        <f t="array" ref="A290">IFERROR(INDEX('03.Muestra'!$B$8:$B$42,SMALL(IF("Página Web"='03.Muestra'!$D$8:$D$42,ROW('03.Muestra'!$B$8:$B$42)-MIN(ROW('03.Muestra'!$D$8:$D$42))+1,""),ROW()-284)),"")</f>
        <v/>
      </c>
      <c r="B290" s="114" t="str" cm="1">
        <f t="array" ref="B290">IFERROR(INDEX('03.Muestra'!$C$8:$C$42,SMALL(IF("Página Web"='03.Muestra'!$D$8:$D$42,ROW('03.Muestra'!$C$8:$C$42)-MIN(ROW('03.Muestra'!$D$8:$D$42))+1,""),ROW()-284)),"")</f>
        <v/>
      </c>
      <c r="C290" s="114" t="str" cm="1">
        <f t="array" ref="C290">IFERROR(INDEX('03.Muestra'!$F$8:$F$42,SMALL(IF("Página Web"='03.Muestra'!$D$8:$D$42,ROW('03.Muestra'!$F$8:$F$42)-MIN(ROW('03.Muestra'!$D$8:$D$42))+1,""),ROW()-284)),"")</f>
        <v/>
      </c>
      <c r="D290" s="130"/>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t="str" cm="1">
        <f t="array" ref="A291">IFERROR(INDEX('03.Muestra'!$B$8:$B$42,SMALL(IF("Página Web"='03.Muestra'!$D$8:$D$42,ROW('03.Muestra'!$B$8:$B$42)-MIN(ROW('03.Muestra'!$D$8:$D$42))+1,""),ROW()-284)),"")</f>
        <v/>
      </c>
      <c r="B291" s="114" t="str" cm="1">
        <f t="array" ref="B291">IFERROR(INDEX('03.Muestra'!$C$8:$C$42,SMALL(IF("Página Web"='03.Muestra'!$D$8:$D$42,ROW('03.Muestra'!$C$8:$C$42)-MIN(ROW('03.Muestra'!$D$8:$D$42))+1,""),ROW()-284)),"")</f>
        <v/>
      </c>
      <c r="C291" s="114" t="str" cm="1">
        <f t="array" ref="C291">IFERROR(INDEX('03.Muestra'!$F$8:$F$42,SMALL(IF("Página Web"='03.Muestra'!$D$8:$D$42,ROW('03.Muestra'!$F$8:$F$42)-MIN(ROW('03.Muestra'!$D$8:$D$42))+1,""),ROW()-284)),"")</f>
        <v/>
      </c>
      <c r="D291" s="130"/>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IFERROR(INDEX('03.Muestra'!$B$8:$B$42,SMALL(IF("Página Web"='03.Muestra'!$D$8:$D$42,ROW('03.Muestra'!$B$8:$B$42)-MIN(ROW('03.Muestra'!$D$8:$D$42))+1,""),ROW()-284)),"")</f>
        <v/>
      </c>
      <c r="B292" s="114" t="str" cm="1">
        <f t="array" ref="B292">IFERROR(INDEX('03.Muestra'!$C$8:$C$42,SMALL(IF("Página Web"='03.Muestra'!$D$8:$D$42,ROW('03.Muestra'!$C$8:$C$42)-MIN(ROW('03.Muestra'!$D$8:$D$42))+1,""),ROW()-284)),"")</f>
        <v/>
      </c>
      <c r="C292" s="114" t="str" cm="1">
        <f t="array" ref="C292">IFERROR(INDEX('03.Muestra'!$F$8:$F$42,SMALL(IF("Página Web"='03.Muestra'!$D$8:$D$42,ROW('03.Muestra'!$F$8:$F$42)-MIN(ROW('03.Muestra'!$D$8:$D$42))+1,""),ROW()-284)),"")</f>
        <v/>
      </c>
      <c r="D292" s="130" t="str">
        <f t="shared" ref="D292:D319" si="15">IF(AND(B292&lt;&gt;"",C292&lt;&gt;""),"N/T","")</f>
        <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IFERROR(INDEX('03.Muestra'!$B$8:$B$42,SMALL(IF("Página Web"='03.Muestra'!$D$8:$D$42,ROW('03.Muestra'!$B$8:$B$42)-MIN(ROW('03.Muestra'!$D$8:$D$42))+1,""),ROW()-284)),"")</f>
        <v/>
      </c>
      <c r="B293" s="114" t="str" cm="1">
        <f t="array" ref="B293">IFERROR(INDEX('03.Muestra'!$C$8:$C$42,SMALL(IF("Página Web"='03.Muestra'!$D$8:$D$42,ROW('03.Muestra'!$C$8:$C$42)-MIN(ROW('03.Muestra'!$D$8:$D$42))+1,""),ROW()-284)),"")</f>
        <v/>
      </c>
      <c r="C293" s="114" t="str" cm="1">
        <f t="array" ref="C293">IFERROR(INDEX('03.Muestra'!$F$8:$F$42,SMALL(IF("Página Web"='03.Muestra'!$D$8:$D$42,ROW('03.Muestra'!$F$8:$F$42)-MIN(ROW('03.Muestra'!$D$8:$D$42))+1,""),ROW()-284)),"")</f>
        <v/>
      </c>
      <c r="D293" s="130" t="str">
        <f t="shared" si="15"/>
        <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IFERROR(INDEX('03.Muestra'!$B$8:$B$42,SMALL(IF("Página Web"='03.Muestra'!$D$8:$D$42,ROW('03.Muestra'!$B$8:$B$42)-MIN(ROW('03.Muestra'!$D$8:$D$42))+1,""),ROW()-284)),"")</f>
        <v/>
      </c>
      <c r="B294" s="114" t="str" cm="1">
        <f t="array" ref="B294">IFERROR(INDEX('03.Muestra'!$C$8:$C$42,SMALL(IF("Página Web"='03.Muestra'!$D$8:$D$42,ROW('03.Muestra'!$C$8:$C$42)-MIN(ROW('03.Muestra'!$D$8:$D$42))+1,""),ROW()-284)),"")</f>
        <v/>
      </c>
      <c r="C294" s="114" t="str" cm="1">
        <f t="array" ref="C294">IFERROR(INDEX('03.Muestra'!$F$8:$F$42,SMALL(IF("Página Web"='03.Muestra'!$D$8:$D$42,ROW('03.Muestra'!$F$8:$F$42)-MIN(ROW('03.Muestra'!$D$8:$D$42))+1,""),ROW()-284)),"")</f>
        <v/>
      </c>
      <c r="D294" s="130" t="str">
        <f t="shared" si="15"/>
        <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si="15"/>
        <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http://www.madrid.org/presupuestos</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Menu 1</v>
      </c>
      <c r="C324" s="114" t="str" cm="1">
        <f t="array" ref="C324">IFERROR(INDEX('03.Muestra'!$F$8:$F$42,SMALL(IF("Página Web"='03.Muestra'!$D$8:$D$42,ROW('03.Muestra'!$F$8:$F$42)-MIN(ROW('03.Muestra'!$D$8:$D$42))+1,""),ROW()-322)),"")</f>
        <v>http://www.madrid.org/presupuestos/index.php/presupuestos-generales/presupuestos-cm/2022</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5</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Menu 2</v>
      </c>
      <c r="C325" s="114" t="str" cm="1">
        <f t="array" ref="C325">IFERROR(INDEX('03.Muestra'!$F$8:$F$42,SMALL(IF("Página Web"='03.Muestra'!$D$8:$D$42,ROW('03.Muestra'!$F$8:$F$42)-MIN(ROW('03.Muestra'!$D$8:$D$42))+1,""),ROW()-322)),"")</f>
        <v>http://www.madrid.org/presupuestos/index.php/ejecucion-presupuestaria</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Menu 3</v>
      </c>
      <c r="C326" s="114" t="str" cm="1">
        <f t="array" ref="C326">IFERROR(INDEX('03.Muestra'!$F$8:$F$42,SMALL(IF("Página Web"='03.Muestra'!$D$8:$D$42,ROW('03.Muestra'!$F$8:$F$42)-MIN(ROW('03.Muestra'!$D$8:$D$42))+1,""),ROW()-322)),"")</f>
        <v>http://www.madrid.org/presupuestos/index.php/transparencia</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Accesibilidad</v>
      </c>
      <c r="C327" s="114" t="str" cm="1">
        <f t="array" ref="C327">IFERROR(INDEX('03.Muestra'!$F$8:$F$42,SMALL(IF("Página Web"='03.Muestra'!$D$8:$D$42,ROW('03.Muestra'!$F$8:$F$42)-MIN(ROW('03.Muestra'!$D$8:$D$42))+1,""),ROW()-322)),"")</f>
        <v>http://www.madrid.org/presupuestos/index.php/accesibilidad-web</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t="str" cm="1">
        <f t="array" ref="A328">IFERROR(INDEX('03.Muestra'!$B$8:$B$42,SMALL(IF("Página Web"='03.Muestra'!$D$8:$D$42,ROW('03.Muestra'!$B$8:$B$42)-MIN(ROW('03.Muestra'!$D$8:$D$42))+1,""),ROW()-322)),"")</f>
        <v/>
      </c>
      <c r="B328" s="114" t="str" cm="1">
        <f t="array" ref="B328">IFERROR(INDEX('03.Muestra'!$C$8:$C$42,SMALL(IF("Página Web"='03.Muestra'!$D$8:$D$42,ROW('03.Muestra'!$C$8:$C$42)-MIN(ROW('03.Muestra'!$D$8:$D$42))+1,""),ROW()-322)),"")</f>
        <v/>
      </c>
      <c r="C328" s="114" t="str" cm="1">
        <f t="array" ref="C328">IFERROR(INDEX('03.Muestra'!$F$8:$F$42,SMALL(IF("Página Web"='03.Muestra'!$D$8:$D$42,ROW('03.Muestra'!$F$8:$F$42)-MIN(ROW('03.Muestra'!$D$8:$D$42))+1,""),ROW()-322)),"")</f>
        <v/>
      </c>
      <c r="D328" s="130"/>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t="str" cm="1">
        <f t="array" ref="A329">IFERROR(INDEX('03.Muestra'!$B$8:$B$42,SMALL(IF("Página Web"='03.Muestra'!$D$8:$D$42,ROW('03.Muestra'!$B$8:$B$42)-MIN(ROW('03.Muestra'!$D$8:$D$42))+1,""),ROW()-322)),"")</f>
        <v/>
      </c>
      <c r="B329" s="114" t="str" cm="1">
        <f t="array" ref="B329">IFERROR(INDEX('03.Muestra'!$C$8:$C$42,SMALL(IF("Página Web"='03.Muestra'!$D$8:$D$42,ROW('03.Muestra'!$C$8:$C$42)-MIN(ROW('03.Muestra'!$D$8:$D$42))+1,""),ROW()-322)),"")</f>
        <v/>
      </c>
      <c r="C329" s="114" t="str" cm="1">
        <f t="array" ref="C329">IFERROR(INDEX('03.Muestra'!$F$8:$F$42,SMALL(IF("Página Web"='03.Muestra'!$D$8:$D$42,ROW('03.Muestra'!$F$8:$F$42)-MIN(ROW('03.Muestra'!$D$8:$D$42))+1,""),ROW()-322)),"")</f>
        <v/>
      </c>
      <c r="D329" s="130" t="str">
        <f t="shared" ref="D329:D357" si="17">IF(AND(B329&lt;&gt;"",C329&lt;&gt;""),"N/T","")</f>
        <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IFERROR(INDEX('03.Muestra'!$B$8:$B$42,SMALL(IF("Página Web"='03.Muestra'!$D$8:$D$42,ROW('03.Muestra'!$B$8:$B$42)-MIN(ROW('03.Muestra'!$D$8:$D$42))+1,""),ROW()-322)),"")</f>
        <v/>
      </c>
      <c r="B330" s="114" t="str" cm="1">
        <f t="array" ref="B330">IFERROR(INDEX('03.Muestra'!$C$8:$C$42,SMALL(IF("Página Web"='03.Muestra'!$D$8:$D$42,ROW('03.Muestra'!$C$8:$C$42)-MIN(ROW('03.Muestra'!$D$8:$D$42))+1,""),ROW()-322)),"")</f>
        <v/>
      </c>
      <c r="C330" s="114" t="str" cm="1">
        <f t="array" ref="C330">IFERROR(INDEX('03.Muestra'!$F$8:$F$42,SMALL(IF("Página Web"='03.Muestra'!$D$8:$D$42,ROW('03.Muestra'!$F$8:$F$42)-MIN(ROW('03.Muestra'!$D$8:$D$42))+1,""),ROW()-322)),"")</f>
        <v/>
      </c>
      <c r="D330" s="130" t="str">
        <f t="shared" si="17"/>
        <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IFERROR(INDEX('03.Muestra'!$B$8:$B$42,SMALL(IF("Página Web"='03.Muestra'!$D$8:$D$42,ROW('03.Muestra'!$B$8:$B$42)-MIN(ROW('03.Muestra'!$D$8:$D$42))+1,""),ROW()-322)),"")</f>
        <v/>
      </c>
      <c r="B331" s="114" t="str" cm="1">
        <f t="array" ref="B331">IFERROR(INDEX('03.Muestra'!$C$8:$C$42,SMALL(IF("Página Web"='03.Muestra'!$D$8:$D$42,ROW('03.Muestra'!$C$8:$C$42)-MIN(ROW('03.Muestra'!$D$8:$D$42))+1,""),ROW()-322)),"")</f>
        <v/>
      </c>
      <c r="C331" s="114" t="str" cm="1">
        <f t="array" ref="C331">IFERROR(INDEX('03.Muestra'!$F$8:$F$42,SMALL(IF("Página Web"='03.Muestra'!$D$8:$D$42,ROW('03.Muestra'!$F$8:$F$42)-MIN(ROW('03.Muestra'!$D$8:$D$42))+1,""),ROW()-322)),"")</f>
        <v/>
      </c>
      <c r="D331" s="130" t="str">
        <f t="shared" si="17"/>
        <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IFERROR(INDEX('03.Muestra'!$B$8:$B$42,SMALL(IF("Página Web"='03.Muestra'!$D$8:$D$42,ROW('03.Muestra'!$B$8:$B$42)-MIN(ROW('03.Muestra'!$D$8:$D$42))+1,""),ROW()-322)),"")</f>
        <v/>
      </c>
      <c r="B332" s="114" t="str" cm="1">
        <f t="array" ref="B332">IFERROR(INDEX('03.Muestra'!$C$8:$C$42,SMALL(IF("Página Web"='03.Muestra'!$D$8:$D$42,ROW('03.Muestra'!$C$8:$C$42)-MIN(ROW('03.Muestra'!$D$8:$D$42))+1,""),ROW()-322)),"")</f>
        <v/>
      </c>
      <c r="C332" s="114" t="str" cm="1">
        <f t="array" ref="C332">IFERROR(INDEX('03.Muestra'!$F$8:$F$42,SMALL(IF("Página Web"='03.Muestra'!$D$8:$D$42,ROW('03.Muestra'!$F$8:$F$42)-MIN(ROW('03.Muestra'!$D$8:$D$42))+1,""),ROW()-322)),"")</f>
        <v/>
      </c>
      <c r="D332" s="130" t="str">
        <f t="shared" si="17"/>
        <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si="17"/>
        <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http://www.madrid.org/presupuestos</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Menu 1</v>
      </c>
      <c r="C362" s="114" t="str" cm="1">
        <f t="array" ref="C362">IFERROR(INDEX('03.Muestra'!$F$8:$F$42,SMALL(IF("Página Web"='03.Muestra'!$D$8:$D$42,ROW('03.Muestra'!$F$8:$F$42)-MIN(ROW('03.Muestra'!$D$8:$D$42))+1,""),ROW()-360)),"")</f>
        <v>http://www.madrid.org/presupuestos/index.php/presupuestos-generales/presupuestos-cm/2022</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5</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Menu 2</v>
      </c>
      <c r="C363" s="114" t="str" cm="1">
        <f t="array" ref="C363">IFERROR(INDEX('03.Muestra'!$F$8:$F$42,SMALL(IF("Página Web"='03.Muestra'!$D$8:$D$42,ROW('03.Muestra'!$F$8:$F$42)-MIN(ROW('03.Muestra'!$D$8:$D$42))+1,""),ROW()-360)),"")</f>
        <v>http://www.madrid.org/presupuestos/index.php/ejecucion-presupuestaria</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Menu 3</v>
      </c>
      <c r="C364" s="114" t="str" cm="1">
        <f t="array" ref="C364">IFERROR(INDEX('03.Muestra'!$F$8:$F$42,SMALL(IF("Página Web"='03.Muestra'!$D$8:$D$42,ROW('03.Muestra'!$F$8:$F$42)-MIN(ROW('03.Muestra'!$D$8:$D$42))+1,""),ROW()-360)),"")</f>
        <v>http://www.madrid.org/presupuestos/index.php/transparencia</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Accesibilidad</v>
      </c>
      <c r="C365" s="114" t="str" cm="1">
        <f t="array" ref="C365">IFERROR(INDEX('03.Muestra'!$F$8:$F$42,SMALL(IF("Página Web"='03.Muestra'!$D$8:$D$42,ROW('03.Muestra'!$F$8:$F$42)-MIN(ROW('03.Muestra'!$D$8:$D$42))+1,""),ROW()-360)),"")</f>
        <v>http://www.madrid.org/presupuestos/index.php/accesibilidad-web</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t="str" cm="1">
        <f t="array" ref="A366">IFERROR(INDEX('03.Muestra'!$B$8:$B$42,SMALL(IF("Página Web"='03.Muestra'!$D$8:$D$42,ROW('03.Muestra'!$B$8:$B$42)-MIN(ROW('03.Muestra'!$D$8:$D$42))+1,""),ROW()-360)),"")</f>
        <v/>
      </c>
      <c r="B366" s="114" t="str" cm="1">
        <f t="array" ref="B366">IFERROR(INDEX('03.Muestra'!$C$8:$C$42,SMALL(IF("Página Web"='03.Muestra'!$D$8:$D$42,ROW('03.Muestra'!$C$8:$C$42)-MIN(ROW('03.Muestra'!$D$8:$D$42))+1,""),ROW()-360)),"")</f>
        <v/>
      </c>
      <c r="C366" s="114" t="str" cm="1">
        <f t="array" ref="C366">IFERROR(INDEX('03.Muestra'!$F$8:$F$42,SMALL(IF("Página Web"='03.Muestra'!$D$8:$D$42,ROW('03.Muestra'!$F$8:$F$42)-MIN(ROW('03.Muestra'!$D$8:$D$42))+1,""),ROW()-360)),"")</f>
        <v/>
      </c>
      <c r="D366" s="130" t="str">
        <f t="shared" ref="D366:D395" si="19">IF(AND(B366&lt;&gt;"",C366&lt;&gt;""),"N/T","")</f>
        <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t="str" cm="1">
        <f t="array" ref="A367">IFERROR(INDEX('03.Muestra'!$B$8:$B$42,SMALL(IF("Página Web"='03.Muestra'!$D$8:$D$42,ROW('03.Muestra'!$B$8:$B$42)-MIN(ROW('03.Muestra'!$D$8:$D$42))+1,""),ROW()-360)),"")</f>
        <v/>
      </c>
      <c r="B367" s="114" t="str" cm="1">
        <f t="array" ref="B367">IFERROR(INDEX('03.Muestra'!$C$8:$C$42,SMALL(IF("Página Web"='03.Muestra'!$D$8:$D$42,ROW('03.Muestra'!$C$8:$C$42)-MIN(ROW('03.Muestra'!$D$8:$D$42))+1,""),ROW()-360)),"")</f>
        <v/>
      </c>
      <c r="C367" s="114" t="str" cm="1">
        <f t="array" ref="C367">IFERROR(INDEX('03.Muestra'!$F$8:$F$42,SMALL(IF("Página Web"='03.Muestra'!$D$8:$D$42,ROW('03.Muestra'!$F$8:$F$42)-MIN(ROW('03.Muestra'!$D$8:$D$42))+1,""),ROW()-360)),"")</f>
        <v/>
      </c>
      <c r="D367" s="130" t="str">
        <f t="shared" si="19"/>
        <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IFERROR(INDEX('03.Muestra'!$B$8:$B$42,SMALL(IF("Página Web"='03.Muestra'!$D$8:$D$42,ROW('03.Muestra'!$B$8:$B$42)-MIN(ROW('03.Muestra'!$D$8:$D$42))+1,""),ROW()-360)),"")</f>
        <v/>
      </c>
      <c r="B368" s="114" t="str" cm="1">
        <f t="array" ref="B368">IFERROR(INDEX('03.Muestra'!$C$8:$C$42,SMALL(IF("Página Web"='03.Muestra'!$D$8:$D$42,ROW('03.Muestra'!$C$8:$C$42)-MIN(ROW('03.Muestra'!$D$8:$D$42))+1,""),ROW()-360)),"")</f>
        <v/>
      </c>
      <c r="C368" s="114" t="str" cm="1">
        <f t="array" ref="C368">IFERROR(INDEX('03.Muestra'!$F$8:$F$42,SMALL(IF("Página Web"='03.Muestra'!$D$8:$D$42,ROW('03.Muestra'!$F$8:$F$42)-MIN(ROW('03.Muestra'!$D$8:$D$42))+1,""),ROW()-360)),"")</f>
        <v/>
      </c>
      <c r="D368" s="130" t="str">
        <f t="shared" si="19"/>
        <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IFERROR(INDEX('03.Muestra'!$B$8:$B$42,SMALL(IF("Página Web"='03.Muestra'!$D$8:$D$42,ROW('03.Muestra'!$B$8:$B$42)-MIN(ROW('03.Muestra'!$D$8:$D$42))+1,""),ROW()-360)),"")</f>
        <v/>
      </c>
      <c r="B369" s="114" t="str" cm="1">
        <f t="array" ref="B369">IFERROR(INDEX('03.Muestra'!$C$8:$C$42,SMALL(IF("Página Web"='03.Muestra'!$D$8:$D$42,ROW('03.Muestra'!$C$8:$C$42)-MIN(ROW('03.Muestra'!$D$8:$D$42))+1,""),ROW()-360)),"")</f>
        <v/>
      </c>
      <c r="C369" s="114" t="str" cm="1">
        <f t="array" ref="C369">IFERROR(INDEX('03.Muestra'!$F$8:$F$42,SMALL(IF("Página Web"='03.Muestra'!$D$8:$D$42,ROW('03.Muestra'!$F$8:$F$42)-MIN(ROW('03.Muestra'!$D$8:$D$42))+1,""),ROW()-360)),"")</f>
        <v/>
      </c>
      <c r="D369" s="130" t="str">
        <f t="shared" si="19"/>
        <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IFERROR(INDEX('03.Muestra'!$B$8:$B$42,SMALL(IF("Página Web"='03.Muestra'!$D$8:$D$42,ROW('03.Muestra'!$B$8:$B$42)-MIN(ROW('03.Muestra'!$D$8:$D$42))+1,""),ROW()-360)),"")</f>
        <v/>
      </c>
      <c r="B370" s="114" t="str" cm="1">
        <f t="array" ref="B370">IFERROR(INDEX('03.Muestra'!$C$8:$C$42,SMALL(IF("Página Web"='03.Muestra'!$D$8:$D$42,ROW('03.Muestra'!$C$8:$C$42)-MIN(ROW('03.Muestra'!$D$8:$D$42))+1,""),ROW()-360)),"")</f>
        <v/>
      </c>
      <c r="C370" s="114" t="str" cm="1">
        <f t="array" ref="C370">IFERROR(INDEX('03.Muestra'!$F$8:$F$42,SMALL(IF("Página Web"='03.Muestra'!$D$8:$D$42,ROW('03.Muestra'!$F$8:$F$42)-MIN(ROW('03.Muestra'!$D$8:$D$42))+1,""),ROW()-360)),"")</f>
        <v/>
      </c>
      <c r="D370" s="130" t="str">
        <f t="shared" si="19"/>
        <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IFERROR(INDEX('03.Muestra'!$B$8:$B$42,SMALL(IF("Página Web"='03.Muestra'!$D$8:$D$42,ROW('03.Muestra'!$B$8:$B$42)-MIN(ROW('03.Muestra'!$D$8:$D$42))+1,""),ROW()-360)),"")</f>
        <v/>
      </c>
      <c r="B371" s="114" t="str" cm="1">
        <f t="array" ref="B371">IFERROR(INDEX('03.Muestra'!$C$8:$C$42,SMALL(IF("Página Web"='03.Muestra'!$D$8:$D$42,ROW('03.Muestra'!$C$8:$C$42)-MIN(ROW('03.Muestra'!$D$8:$D$42))+1,""),ROW()-360)),"")</f>
        <v/>
      </c>
      <c r="C371" s="114" t="str" cm="1">
        <f t="array" ref="C371">IFERROR(INDEX('03.Muestra'!$F$8:$F$42,SMALL(IF("Página Web"='03.Muestra'!$D$8:$D$42,ROW('03.Muestra'!$F$8:$F$42)-MIN(ROW('03.Muestra'!$D$8:$D$42))+1,""),ROW()-360)),"")</f>
        <v/>
      </c>
      <c r="D371" s="130" t="str">
        <f t="shared" si="19"/>
        <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IFERROR(INDEX('03.Muestra'!$B$8:$B$42,SMALL(IF("Página Web"='03.Muestra'!$D$8:$D$42,ROW('03.Muestra'!$B$8:$B$42)-MIN(ROW('03.Muestra'!$D$8:$D$42))+1,""),ROW()-360)),"")</f>
        <v/>
      </c>
      <c r="B372" s="114" t="str" cm="1">
        <f t="array" ref="B372">IFERROR(INDEX('03.Muestra'!$C$8:$C$42,SMALL(IF("Página Web"='03.Muestra'!$D$8:$D$42,ROW('03.Muestra'!$C$8:$C$42)-MIN(ROW('03.Muestra'!$D$8:$D$42))+1,""),ROW()-360)),"")</f>
        <v/>
      </c>
      <c r="C372" s="114" t="str" cm="1">
        <f t="array" ref="C372">IFERROR(INDEX('03.Muestra'!$F$8:$F$42,SMALL(IF("Página Web"='03.Muestra'!$D$8:$D$42,ROW('03.Muestra'!$F$8:$F$42)-MIN(ROW('03.Muestra'!$D$8:$D$42))+1,""),ROW()-360)),"")</f>
        <v/>
      </c>
      <c r="D372" s="130" t="str">
        <f t="shared" si="19"/>
        <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t="str" cm="1">
        <f t="array" ref="A373">IFERROR(INDEX('03.Muestra'!$B$8:$B$42,SMALL(IF("Página Web"='03.Muestra'!$D$8:$D$42,ROW('03.Muestra'!$B$8:$B$42)-MIN(ROW('03.Muestra'!$D$8:$D$42))+1,""),ROW()-360)),"")</f>
        <v/>
      </c>
      <c r="B373" s="114" t="str" cm="1">
        <f t="array" ref="B373">IFERROR(INDEX('03.Muestra'!$C$8:$C$42,SMALL(IF("Página Web"='03.Muestra'!$D$8:$D$42,ROW('03.Muestra'!$C$8:$C$42)-MIN(ROW('03.Muestra'!$D$8:$D$42))+1,""),ROW()-360)),"")</f>
        <v/>
      </c>
      <c r="C373" s="114" t="str" cm="1">
        <f t="array" ref="C373">IFERROR(INDEX('03.Muestra'!$F$8:$F$42,SMALL(IF("Página Web"='03.Muestra'!$D$8:$D$42,ROW('03.Muestra'!$F$8:$F$42)-MIN(ROW('03.Muestra'!$D$8:$D$42))+1,""),ROW()-360)),"")</f>
        <v/>
      </c>
      <c r="D373" s="130" t="str">
        <f t="shared" si="19"/>
        <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t="str" cm="1">
        <f t="array" ref="A374">IFERROR(INDEX('03.Muestra'!$B$8:$B$42,SMALL(IF("Página Web"='03.Muestra'!$D$8:$D$42,ROW('03.Muestra'!$B$8:$B$42)-MIN(ROW('03.Muestra'!$D$8:$D$42))+1,""),ROW()-360)),"")</f>
        <v/>
      </c>
      <c r="B374" s="114" t="str" cm="1">
        <f t="array" ref="B374">IFERROR(INDEX('03.Muestra'!$C$8:$C$42,SMALL(IF("Página Web"='03.Muestra'!$D$8:$D$42,ROW('03.Muestra'!$C$8:$C$42)-MIN(ROW('03.Muestra'!$D$8:$D$42))+1,""),ROW()-360)),"")</f>
        <v/>
      </c>
      <c r="C374" s="114" t="str" cm="1">
        <f t="array" ref="C374">IFERROR(INDEX('03.Muestra'!$F$8:$F$42,SMALL(IF("Página Web"='03.Muestra'!$D$8:$D$42,ROW('03.Muestra'!$F$8:$F$42)-MIN(ROW('03.Muestra'!$D$8:$D$42))+1,""),ROW()-360)),"")</f>
        <v/>
      </c>
      <c r="D374" s="130" t="str">
        <f t="shared" si="19"/>
        <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t="str" cm="1">
        <f t="array" ref="A375">IFERROR(INDEX('03.Muestra'!$B$8:$B$42,SMALL(IF("Página Web"='03.Muestra'!$D$8:$D$42,ROW('03.Muestra'!$B$8:$B$42)-MIN(ROW('03.Muestra'!$D$8:$D$42))+1,""),ROW()-360)),"")</f>
        <v/>
      </c>
      <c r="B375" s="114" t="str" cm="1">
        <f t="array" ref="B375">IFERROR(INDEX('03.Muestra'!$C$8:$C$42,SMALL(IF("Página Web"='03.Muestra'!$D$8:$D$42,ROW('03.Muestra'!$C$8:$C$42)-MIN(ROW('03.Muestra'!$D$8:$D$42))+1,""),ROW()-360)),"")</f>
        <v/>
      </c>
      <c r="C375" s="114" t="str" cm="1">
        <f t="array" ref="C375">IFERROR(INDEX('03.Muestra'!$F$8:$F$42,SMALL(IF("Página Web"='03.Muestra'!$D$8:$D$42,ROW('03.Muestra'!$F$8:$F$42)-MIN(ROW('03.Muestra'!$D$8:$D$42))+1,""),ROW()-360)),"")</f>
        <v/>
      </c>
      <c r="D375" s="130" t="str">
        <f t="shared" si="19"/>
        <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si="19"/>
        <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http://www.madrid.org/presupuestos</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Menu 1</v>
      </c>
      <c r="C400" s="114" t="str" cm="1">
        <f t="array" ref="C400">IFERROR(INDEX('03.Muestra'!$F$8:$F$42,SMALL(IF("Página Web"='03.Muestra'!$D$8:$D$42,ROW('03.Muestra'!$F$8:$F$42)-MIN(ROW('03.Muestra'!$D$8:$D$42))+1,""),ROW()-398)),"")</f>
        <v>http://www.madrid.org/presupuestos/index.php/presupuestos-generales/presupuestos-cm/2022</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5</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Menu 2</v>
      </c>
      <c r="C401" s="114" t="str" cm="1">
        <f t="array" ref="C401">IFERROR(INDEX('03.Muestra'!$F$8:$F$42,SMALL(IF("Página Web"='03.Muestra'!$D$8:$D$42,ROW('03.Muestra'!$F$8:$F$42)-MIN(ROW('03.Muestra'!$D$8:$D$42))+1,""),ROW()-398)),"")</f>
        <v>http://www.madrid.org/presupuestos/index.php/ejecucion-presupuestaria</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Menu 3</v>
      </c>
      <c r="C402" s="114" t="str" cm="1">
        <f t="array" ref="C402">IFERROR(INDEX('03.Muestra'!$F$8:$F$42,SMALL(IF("Página Web"='03.Muestra'!$D$8:$D$42,ROW('03.Muestra'!$F$8:$F$42)-MIN(ROW('03.Muestra'!$D$8:$D$42))+1,""),ROW()-398)),"")</f>
        <v>http://www.madrid.org/presupuestos/index.php/transparencia</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Accesibilidad</v>
      </c>
      <c r="C403" s="114" t="str" cm="1">
        <f t="array" ref="C403">IFERROR(INDEX('03.Muestra'!$F$8:$F$42,SMALL(IF("Página Web"='03.Muestra'!$D$8:$D$42,ROW('03.Muestra'!$F$8:$F$42)-MIN(ROW('03.Muestra'!$D$8:$D$42))+1,""),ROW()-398)),"")</f>
        <v>http://www.madrid.org/presupuestos/index.php/accesibilidad-web</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t="str" cm="1">
        <f t="array" ref="A404">IFERROR(INDEX('03.Muestra'!$B$8:$B$42,SMALL(IF("Página Web"='03.Muestra'!$D$8:$D$42,ROW('03.Muestra'!$B$8:$B$42)-MIN(ROW('03.Muestra'!$D$8:$D$42))+1,""),ROW()-398)),"")</f>
        <v/>
      </c>
      <c r="B404" s="114" t="str" cm="1">
        <f t="array" ref="B404">IFERROR(INDEX('03.Muestra'!$C$8:$C$42,SMALL(IF("Página Web"='03.Muestra'!$D$8:$D$42,ROW('03.Muestra'!$C$8:$C$42)-MIN(ROW('03.Muestra'!$D$8:$D$42))+1,""),ROW()-398)),"")</f>
        <v/>
      </c>
      <c r="C404" s="114" t="str" cm="1">
        <f t="array" ref="C404">IFERROR(INDEX('03.Muestra'!$F$8:$F$42,SMALL(IF("Página Web"='03.Muestra'!$D$8:$D$42,ROW('03.Muestra'!$F$8:$F$42)-MIN(ROW('03.Muestra'!$D$8:$D$42))+1,""),ROW()-398)),"")</f>
        <v/>
      </c>
      <c r="D404" s="130" t="str">
        <f t="shared" ref="D404:D433" si="21">IF(AND(B404&lt;&gt;"",C404&lt;&gt;""),"N/T","")</f>
        <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t="str" cm="1">
        <f t="array" ref="A405">IFERROR(INDEX('03.Muestra'!$B$8:$B$42,SMALL(IF("Página Web"='03.Muestra'!$D$8:$D$42,ROW('03.Muestra'!$B$8:$B$42)-MIN(ROW('03.Muestra'!$D$8:$D$42))+1,""),ROW()-398)),"")</f>
        <v/>
      </c>
      <c r="B405" s="114" t="str" cm="1">
        <f t="array" ref="B405">IFERROR(INDEX('03.Muestra'!$C$8:$C$42,SMALL(IF("Página Web"='03.Muestra'!$D$8:$D$42,ROW('03.Muestra'!$C$8:$C$42)-MIN(ROW('03.Muestra'!$D$8:$D$42))+1,""),ROW()-398)),"")</f>
        <v/>
      </c>
      <c r="C405" s="114" t="str" cm="1">
        <f t="array" ref="C405">IFERROR(INDEX('03.Muestra'!$F$8:$F$42,SMALL(IF("Página Web"='03.Muestra'!$D$8:$D$42,ROW('03.Muestra'!$F$8:$F$42)-MIN(ROW('03.Muestra'!$D$8:$D$42))+1,""),ROW()-398)),"")</f>
        <v/>
      </c>
      <c r="D405" s="130" t="str">
        <f t="shared" si="21"/>
        <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IFERROR(INDEX('03.Muestra'!$B$8:$B$42,SMALL(IF("Página Web"='03.Muestra'!$D$8:$D$42,ROW('03.Muestra'!$B$8:$B$42)-MIN(ROW('03.Muestra'!$D$8:$D$42))+1,""),ROW()-398)),"")</f>
        <v/>
      </c>
      <c r="B406" s="114" t="str" cm="1">
        <f t="array" ref="B406">IFERROR(INDEX('03.Muestra'!$C$8:$C$42,SMALL(IF("Página Web"='03.Muestra'!$D$8:$D$42,ROW('03.Muestra'!$C$8:$C$42)-MIN(ROW('03.Muestra'!$D$8:$D$42))+1,""),ROW()-398)),"")</f>
        <v/>
      </c>
      <c r="C406" s="114" t="str" cm="1">
        <f t="array" ref="C406">IFERROR(INDEX('03.Muestra'!$F$8:$F$42,SMALL(IF("Página Web"='03.Muestra'!$D$8:$D$42,ROW('03.Muestra'!$F$8:$F$42)-MIN(ROW('03.Muestra'!$D$8:$D$42))+1,""),ROW()-398)),"")</f>
        <v/>
      </c>
      <c r="D406" s="130" t="str">
        <f t="shared" si="21"/>
        <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IFERROR(INDEX('03.Muestra'!$B$8:$B$42,SMALL(IF("Página Web"='03.Muestra'!$D$8:$D$42,ROW('03.Muestra'!$B$8:$B$42)-MIN(ROW('03.Muestra'!$D$8:$D$42))+1,""),ROW()-398)),"")</f>
        <v/>
      </c>
      <c r="B407" s="114" t="str" cm="1">
        <f t="array" ref="B407">IFERROR(INDEX('03.Muestra'!$C$8:$C$42,SMALL(IF("Página Web"='03.Muestra'!$D$8:$D$42,ROW('03.Muestra'!$C$8:$C$42)-MIN(ROW('03.Muestra'!$D$8:$D$42))+1,""),ROW()-398)),"")</f>
        <v/>
      </c>
      <c r="C407" s="114" t="str" cm="1">
        <f t="array" ref="C407">IFERROR(INDEX('03.Muestra'!$F$8:$F$42,SMALL(IF("Página Web"='03.Muestra'!$D$8:$D$42,ROW('03.Muestra'!$F$8:$F$42)-MIN(ROW('03.Muestra'!$D$8:$D$42))+1,""),ROW()-398)),"")</f>
        <v/>
      </c>
      <c r="D407" s="130" t="str">
        <f t="shared" si="21"/>
        <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IFERROR(INDEX('03.Muestra'!$B$8:$B$42,SMALL(IF("Página Web"='03.Muestra'!$D$8:$D$42,ROW('03.Muestra'!$B$8:$B$42)-MIN(ROW('03.Muestra'!$D$8:$D$42))+1,""),ROW()-398)),"")</f>
        <v/>
      </c>
      <c r="B408" s="114" t="str" cm="1">
        <f t="array" ref="B408">IFERROR(INDEX('03.Muestra'!$C$8:$C$42,SMALL(IF("Página Web"='03.Muestra'!$D$8:$D$42,ROW('03.Muestra'!$C$8:$C$42)-MIN(ROW('03.Muestra'!$D$8:$D$42))+1,""),ROW()-398)),"")</f>
        <v/>
      </c>
      <c r="C408" s="114" t="str" cm="1">
        <f t="array" ref="C408">IFERROR(INDEX('03.Muestra'!$F$8:$F$42,SMALL(IF("Página Web"='03.Muestra'!$D$8:$D$42,ROW('03.Muestra'!$F$8:$F$42)-MIN(ROW('03.Muestra'!$D$8:$D$42))+1,""),ROW()-398)),"")</f>
        <v/>
      </c>
      <c r="D408" s="130" t="str">
        <f t="shared" si="21"/>
        <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IFERROR(INDEX('03.Muestra'!$B$8:$B$42,SMALL(IF("Página Web"='03.Muestra'!$D$8:$D$42,ROW('03.Muestra'!$B$8:$B$42)-MIN(ROW('03.Muestra'!$D$8:$D$42))+1,""),ROW()-398)),"")</f>
        <v/>
      </c>
      <c r="B409" s="114" t="str" cm="1">
        <f t="array" ref="B409">IFERROR(INDEX('03.Muestra'!$C$8:$C$42,SMALL(IF("Página Web"='03.Muestra'!$D$8:$D$42,ROW('03.Muestra'!$C$8:$C$42)-MIN(ROW('03.Muestra'!$D$8:$D$42))+1,""),ROW()-398)),"")</f>
        <v/>
      </c>
      <c r="C409" s="114" t="str" cm="1">
        <f t="array" ref="C409">IFERROR(INDEX('03.Muestra'!$F$8:$F$42,SMALL(IF("Página Web"='03.Muestra'!$D$8:$D$42,ROW('03.Muestra'!$F$8:$F$42)-MIN(ROW('03.Muestra'!$D$8:$D$42))+1,""),ROW()-398)),"")</f>
        <v/>
      </c>
      <c r="D409" s="130" t="str">
        <f t="shared" si="21"/>
        <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IFERROR(INDEX('03.Muestra'!$B$8:$B$42,SMALL(IF("Página Web"='03.Muestra'!$D$8:$D$42,ROW('03.Muestra'!$B$8:$B$42)-MIN(ROW('03.Muestra'!$D$8:$D$42))+1,""),ROW()-398)),"")</f>
        <v/>
      </c>
      <c r="B410" s="114" t="str" cm="1">
        <f t="array" ref="B410">IFERROR(INDEX('03.Muestra'!$C$8:$C$42,SMALL(IF("Página Web"='03.Muestra'!$D$8:$D$42,ROW('03.Muestra'!$C$8:$C$42)-MIN(ROW('03.Muestra'!$D$8:$D$42))+1,""),ROW()-398)),"")</f>
        <v/>
      </c>
      <c r="C410" s="114" t="str" cm="1">
        <f t="array" ref="C410">IFERROR(INDEX('03.Muestra'!$F$8:$F$42,SMALL(IF("Página Web"='03.Muestra'!$D$8:$D$42,ROW('03.Muestra'!$F$8:$F$42)-MIN(ROW('03.Muestra'!$D$8:$D$42))+1,""),ROW()-398)),"")</f>
        <v/>
      </c>
      <c r="D410" s="130" t="str">
        <f t="shared" si="21"/>
        <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t="str" cm="1">
        <f t="array" ref="A411">IFERROR(INDEX('03.Muestra'!$B$8:$B$42,SMALL(IF("Página Web"='03.Muestra'!$D$8:$D$42,ROW('03.Muestra'!$B$8:$B$42)-MIN(ROW('03.Muestra'!$D$8:$D$42))+1,""),ROW()-398)),"")</f>
        <v/>
      </c>
      <c r="B411" s="114" t="str" cm="1">
        <f t="array" ref="B411">IFERROR(INDEX('03.Muestra'!$C$8:$C$42,SMALL(IF("Página Web"='03.Muestra'!$D$8:$D$42,ROW('03.Muestra'!$C$8:$C$42)-MIN(ROW('03.Muestra'!$D$8:$D$42))+1,""),ROW()-398)),"")</f>
        <v/>
      </c>
      <c r="C411" s="114" t="str" cm="1">
        <f t="array" ref="C411">IFERROR(INDEX('03.Muestra'!$F$8:$F$42,SMALL(IF("Página Web"='03.Muestra'!$D$8:$D$42,ROW('03.Muestra'!$F$8:$F$42)-MIN(ROW('03.Muestra'!$D$8:$D$42))+1,""),ROW()-398)),"")</f>
        <v/>
      </c>
      <c r="D411" s="130" t="str">
        <f t="shared" si="21"/>
        <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t="str" cm="1">
        <f t="array" ref="A412">IFERROR(INDEX('03.Muestra'!$B$8:$B$42,SMALL(IF("Página Web"='03.Muestra'!$D$8:$D$42,ROW('03.Muestra'!$B$8:$B$42)-MIN(ROW('03.Muestra'!$D$8:$D$42))+1,""),ROW()-398)),"")</f>
        <v/>
      </c>
      <c r="B412" s="114" t="str" cm="1">
        <f t="array" ref="B412">IFERROR(INDEX('03.Muestra'!$C$8:$C$42,SMALL(IF("Página Web"='03.Muestra'!$D$8:$D$42,ROW('03.Muestra'!$C$8:$C$42)-MIN(ROW('03.Muestra'!$D$8:$D$42))+1,""),ROW()-398)),"")</f>
        <v/>
      </c>
      <c r="C412" s="114" t="str" cm="1">
        <f t="array" ref="C412">IFERROR(INDEX('03.Muestra'!$F$8:$F$42,SMALL(IF("Página Web"='03.Muestra'!$D$8:$D$42,ROW('03.Muestra'!$F$8:$F$42)-MIN(ROW('03.Muestra'!$D$8:$D$42))+1,""),ROW()-398)),"")</f>
        <v/>
      </c>
      <c r="D412" s="130" t="str">
        <f t="shared" si="21"/>
        <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t="str" cm="1">
        <f t="array" ref="A413">IFERROR(INDEX('03.Muestra'!$B$8:$B$42,SMALL(IF("Página Web"='03.Muestra'!$D$8:$D$42,ROW('03.Muestra'!$B$8:$B$42)-MIN(ROW('03.Muestra'!$D$8:$D$42))+1,""),ROW()-398)),"")</f>
        <v/>
      </c>
      <c r="B413" s="114" t="str" cm="1">
        <f t="array" ref="B413">IFERROR(INDEX('03.Muestra'!$C$8:$C$42,SMALL(IF("Página Web"='03.Muestra'!$D$8:$D$42,ROW('03.Muestra'!$C$8:$C$42)-MIN(ROW('03.Muestra'!$D$8:$D$42))+1,""),ROW()-398)),"")</f>
        <v/>
      </c>
      <c r="C413" s="114" t="str" cm="1">
        <f t="array" ref="C413">IFERROR(INDEX('03.Muestra'!$F$8:$F$42,SMALL(IF("Página Web"='03.Muestra'!$D$8:$D$42,ROW('03.Muestra'!$F$8:$F$42)-MIN(ROW('03.Muestra'!$D$8:$D$42))+1,""),ROW()-398)),"")</f>
        <v/>
      </c>
      <c r="D413" s="130" t="str">
        <f t="shared" si="21"/>
        <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si="21"/>
        <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http://www.madrid.org/presupuestos</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Menu 1</v>
      </c>
      <c r="C438" s="114" t="str" cm="1">
        <f t="array" ref="C438">IFERROR(INDEX('03.Muestra'!$F$8:$F$42,SMALL(IF("Página Web"='03.Muestra'!$D$8:$D$42,ROW('03.Muestra'!$F$8:$F$42)-MIN(ROW('03.Muestra'!$D$8:$D$42))+1,""),ROW()-436)),"")</f>
        <v>http://www.madrid.org/presupuestos/index.php/presupuestos-generales/presupuestos-cm/2022</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5</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Menu 2</v>
      </c>
      <c r="C439" s="114" t="str" cm="1">
        <f t="array" ref="C439">IFERROR(INDEX('03.Muestra'!$F$8:$F$42,SMALL(IF("Página Web"='03.Muestra'!$D$8:$D$42,ROW('03.Muestra'!$F$8:$F$42)-MIN(ROW('03.Muestra'!$D$8:$D$42))+1,""),ROW()-436)),"")</f>
        <v>http://www.madrid.org/presupuestos/index.php/ejecucion-presupuestaria</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Menu 3</v>
      </c>
      <c r="C440" s="114" t="str" cm="1">
        <f t="array" ref="C440">IFERROR(INDEX('03.Muestra'!$F$8:$F$42,SMALL(IF("Página Web"='03.Muestra'!$D$8:$D$42,ROW('03.Muestra'!$F$8:$F$42)-MIN(ROW('03.Muestra'!$D$8:$D$42))+1,""),ROW()-436)),"")</f>
        <v>http://www.madrid.org/presupuestos/index.php/transparencia</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Accesibilidad</v>
      </c>
      <c r="C441" s="114" t="str" cm="1">
        <f t="array" ref="C441">IFERROR(INDEX('03.Muestra'!$F$8:$F$42,SMALL(IF("Página Web"='03.Muestra'!$D$8:$D$42,ROW('03.Muestra'!$F$8:$F$42)-MIN(ROW('03.Muestra'!$D$8:$D$42))+1,""),ROW()-436)),"")</f>
        <v>http://www.madrid.org/presupuestos/index.php/accesibilidad-web</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IFERROR(INDEX('03.Muestra'!$B$8:$B$42,SMALL(IF("Página Web"='03.Muestra'!$D$8:$D$42,ROW('03.Muestra'!$B$8:$B$42)-MIN(ROW('03.Muestra'!$D$8:$D$42))+1,""),ROW()-436)),"")</f>
        <v/>
      </c>
      <c r="B442" s="114" t="str" cm="1">
        <f t="array" ref="B442">IFERROR(INDEX('03.Muestra'!$C$8:$C$42,SMALL(IF("Página Web"='03.Muestra'!$D$8:$D$42,ROW('03.Muestra'!$C$8:$C$42)-MIN(ROW('03.Muestra'!$D$8:$D$42))+1,""),ROW()-436)),"")</f>
        <v/>
      </c>
      <c r="C442" s="114" t="str" cm="1">
        <f t="array" ref="C442">IFERROR(INDEX('03.Muestra'!$F$8:$F$42,SMALL(IF("Página Web"='03.Muestra'!$D$8:$D$42,ROW('03.Muestra'!$F$8:$F$42)-MIN(ROW('03.Muestra'!$D$8:$D$42))+1,""),ROW()-436)),"")</f>
        <v/>
      </c>
      <c r="D442" s="130" t="str">
        <f t="shared" ref="D442:D471" si="23">IF(AND(B442&lt;&gt;"",C442&lt;&gt;""),"N/T","")</f>
        <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IFERROR(INDEX('03.Muestra'!$B$8:$B$42,SMALL(IF("Página Web"='03.Muestra'!$D$8:$D$42,ROW('03.Muestra'!$B$8:$B$42)-MIN(ROW('03.Muestra'!$D$8:$D$42))+1,""),ROW()-436)),"")</f>
        <v/>
      </c>
      <c r="B443" s="114" t="str" cm="1">
        <f t="array" ref="B443">IFERROR(INDEX('03.Muestra'!$C$8:$C$42,SMALL(IF("Página Web"='03.Muestra'!$D$8:$D$42,ROW('03.Muestra'!$C$8:$C$42)-MIN(ROW('03.Muestra'!$D$8:$D$42))+1,""),ROW()-436)),"")</f>
        <v/>
      </c>
      <c r="C443" s="114" t="str" cm="1">
        <f t="array" ref="C443">IFERROR(INDEX('03.Muestra'!$F$8:$F$42,SMALL(IF("Página Web"='03.Muestra'!$D$8:$D$42,ROW('03.Muestra'!$F$8:$F$42)-MIN(ROW('03.Muestra'!$D$8:$D$42))+1,""),ROW()-436)),"")</f>
        <v/>
      </c>
      <c r="D443" s="130" t="str">
        <f t="shared" si="23"/>
        <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IFERROR(INDEX('03.Muestra'!$B$8:$B$42,SMALL(IF("Página Web"='03.Muestra'!$D$8:$D$42,ROW('03.Muestra'!$B$8:$B$42)-MIN(ROW('03.Muestra'!$D$8:$D$42))+1,""),ROW()-436)),"")</f>
        <v/>
      </c>
      <c r="B444" s="114" t="str" cm="1">
        <f t="array" ref="B444">IFERROR(INDEX('03.Muestra'!$C$8:$C$42,SMALL(IF("Página Web"='03.Muestra'!$D$8:$D$42,ROW('03.Muestra'!$C$8:$C$42)-MIN(ROW('03.Muestra'!$D$8:$D$42))+1,""),ROW()-436)),"")</f>
        <v/>
      </c>
      <c r="C444" s="114" t="str" cm="1">
        <f t="array" ref="C444">IFERROR(INDEX('03.Muestra'!$F$8:$F$42,SMALL(IF("Página Web"='03.Muestra'!$D$8:$D$42,ROW('03.Muestra'!$F$8:$F$42)-MIN(ROW('03.Muestra'!$D$8:$D$42))+1,""),ROW()-436)),"")</f>
        <v/>
      </c>
      <c r="D444" s="130" t="str">
        <f t="shared" si="23"/>
        <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IFERROR(INDEX('03.Muestra'!$B$8:$B$42,SMALL(IF("Página Web"='03.Muestra'!$D$8:$D$42,ROW('03.Muestra'!$B$8:$B$42)-MIN(ROW('03.Muestra'!$D$8:$D$42))+1,""),ROW()-436)),"")</f>
        <v/>
      </c>
      <c r="B445" s="114" t="str" cm="1">
        <f t="array" ref="B445">IFERROR(INDEX('03.Muestra'!$C$8:$C$42,SMALL(IF("Página Web"='03.Muestra'!$D$8:$D$42,ROW('03.Muestra'!$C$8:$C$42)-MIN(ROW('03.Muestra'!$D$8:$D$42))+1,""),ROW()-436)),"")</f>
        <v/>
      </c>
      <c r="C445" s="114" t="str" cm="1">
        <f t="array" ref="C445">IFERROR(INDEX('03.Muestra'!$F$8:$F$42,SMALL(IF("Página Web"='03.Muestra'!$D$8:$D$42,ROW('03.Muestra'!$F$8:$F$42)-MIN(ROW('03.Muestra'!$D$8:$D$42))+1,""),ROW()-436)),"")</f>
        <v/>
      </c>
      <c r="D445" s="130" t="str">
        <f t="shared" si="23"/>
        <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IFERROR(INDEX('03.Muestra'!$B$8:$B$42,SMALL(IF("Página Web"='03.Muestra'!$D$8:$D$42,ROW('03.Muestra'!$B$8:$B$42)-MIN(ROW('03.Muestra'!$D$8:$D$42))+1,""),ROW()-436)),"")</f>
        <v/>
      </c>
      <c r="B446" s="114" t="str" cm="1">
        <f t="array" ref="B446">IFERROR(INDEX('03.Muestra'!$C$8:$C$42,SMALL(IF("Página Web"='03.Muestra'!$D$8:$D$42,ROW('03.Muestra'!$C$8:$C$42)-MIN(ROW('03.Muestra'!$D$8:$D$42))+1,""),ROW()-436)),"")</f>
        <v/>
      </c>
      <c r="C446" s="114" t="str" cm="1">
        <f t="array" ref="C446">IFERROR(INDEX('03.Muestra'!$F$8:$F$42,SMALL(IF("Página Web"='03.Muestra'!$D$8:$D$42,ROW('03.Muestra'!$F$8:$F$42)-MIN(ROW('03.Muestra'!$D$8:$D$42))+1,""),ROW()-436)),"")</f>
        <v/>
      </c>
      <c r="D446" s="130" t="str">
        <f t="shared" si="23"/>
        <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IFERROR(INDEX('03.Muestra'!$B$8:$B$42,SMALL(IF("Página Web"='03.Muestra'!$D$8:$D$42,ROW('03.Muestra'!$B$8:$B$42)-MIN(ROW('03.Muestra'!$D$8:$D$42))+1,""),ROW()-436)),"")</f>
        <v/>
      </c>
      <c r="B447" s="114" t="str" cm="1">
        <f t="array" ref="B447">IFERROR(INDEX('03.Muestra'!$C$8:$C$42,SMALL(IF("Página Web"='03.Muestra'!$D$8:$D$42,ROW('03.Muestra'!$C$8:$C$42)-MIN(ROW('03.Muestra'!$D$8:$D$42))+1,""),ROW()-436)),"")</f>
        <v/>
      </c>
      <c r="C447" s="114" t="str" cm="1">
        <f t="array" ref="C447">IFERROR(INDEX('03.Muestra'!$F$8:$F$42,SMALL(IF("Página Web"='03.Muestra'!$D$8:$D$42,ROW('03.Muestra'!$F$8:$F$42)-MIN(ROW('03.Muestra'!$D$8:$D$42))+1,""),ROW()-436)),"")</f>
        <v/>
      </c>
      <c r="D447" s="130" t="str">
        <f t="shared" si="23"/>
        <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IFERROR(INDEX('03.Muestra'!$B$8:$B$42,SMALL(IF("Página Web"='03.Muestra'!$D$8:$D$42,ROW('03.Muestra'!$B$8:$B$42)-MIN(ROW('03.Muestra'!$D$8:$D$42))+1,""),ROW()-436)),"")</f>
        <v/>
      </c>
      <c r="B448" s="114" t="str" cm="1">
        <f t="array" ref="B448">IFERROR(INDEX('03.Muestra'!$C$8:$C$42,SMALL(IF("Página Web"='03.Muestra'!$D$8:$D$42,ROW('03.Muestra'!$C$8:$C$42)-MIN(ROW('03.Muestra'!$D$8:$D$42))+1,""),ROW()-436)),"")</f>
        <v/>
      </c>
      <c r="C448" s="114" t="str" cm="1">
        <f t="array" ref="C448">IFERROR(INDEX('03.Muestra'!$F$8:$F$42,SMALL(IF("Página Web"='03.Muestra'!$D$8:$D$42,ROW('03.Muestra'!$F$8:$F$42)-MIN(ROW('03.Muestra'!$D$8:$D$42))+1,""),ROW()-436)),"")</f>
        <v/>
      </c>
      <c r="D448" s="130" t="str">
        <f t="shared" si="23"/>
        <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5" customHeight="1">
      <c r="A449" s="219" t="str" cm="1">
        <f t="array" ref="A449">IFERROR(INDEX('03.Muestra'!$B$8:$B$42,SMALL(IF("Página Web"='03.Muestra'!$D$8:$D$42,ROW('03.Muestra'!$B$8:$B$42)-MIN(ROW('03.Muestra'!$D$8:$D$42))+1,""),ROW()-436)),"")</f>
        <v/>
      </c>
      <c r="B449" s="114" t="str" cm="1">
        <f t="array" ref="B449">IFERROR(INDEX('03.Muestra'!$C$8:$C$42,SMALL(IF("Página Web"='03.Muestra'!$D$8:$D$42,ROW('03.Muestra'!$C$8:$C$42)-MIN(ROW('03.Muestra'!$D$8:$D$42))+1,""),ROW()-436)),"")</f>
        <v/>
      </c>
      <c r="C449" s="114" t="str" cm="1">
        <f t="array" ref="C449">IFERROR(INDEX('03.Muestra'!$F$8:$F$42,SMALL(IF("Página Web"='03.Muestra'!$D$8:$D$42,ROW('03.Muestra'!$F$8:$F$42)-MIN(ROW('03.Muestra'!$D$8:$D$42))+1,""),ROW()-436)),"")</f>
        <v/>
      </c>
      <c r="D449" s="130" t="str">
        <f t="shared" si="23"/>
        <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5" customHeight="1">
      <c r="A450" s="219" t="str" cm="1">
        <f t="array" ref="A450">IFERROR(INDEX('03.Muestra'!$B$8:$B$42,SMALL(IF("Página Web"='03.Muestra'!$D$8:$D$42,ROW('03.Muestra'!$B$8:$B$42)-MIN(ROW('03.Muestra'!$D$8:$D$42))+1,""),ROW()-436)),"")</f>
        <v/>
      </c>
      <c r="B450" s="114" t="str" cm="1">
        <f t="array" ref="B450">IFERROR(INDEX('03.Muestra'!$C$8:$C$42,SMALL(IF("Página Web"='03.Muestra'!$D$8:$D$42,ROW('03.Muestra'!$C$8:$C$42)-MIN(ROW('03.Muestra'!$D$8:$D$42))+1,""),ROW()-436)),"")</f>
        <v/>
      </c>
      <c r="C450" s="114" t="str" cm="1">
        <f t="array" ref="C450">IFERROR(INDEX('03.Muestra'!$F$8:$F$42,SMALL(IF("Página Web"='03.Muestra'!$D$8:$D$42,ROW('03.Muestra'!$F$8:$F$42)-MIN(ROW('03.Muestra'!$D$8:$D$42))+1,""),ROW()-436)),"")</f>
        <v/>
      </c>
      <c r="D450" s="130" t="str">
        <f t="shared" si="23"/>
        <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5" customHeight="1">
      <c r="A451" s="219" t="str" cm="1">
        <f t="array" ref="A451">IFERROR(INDEX('03.Muestra'!$B$8:$B$42,SMALL(IF("Página Web"='03.Muestra'!$D$8:$D$42,ROW('03.Muestra'!$B$8:$B$42)-MIN(ROW('03.Muestra'!$D$8:$D$42))+1,""),ROW()-436)),"")</f>
        <v/>
      </c>
      <c r="B451" s="114" t="str" cm="1">
        <f t="array" ref="B451">IFERROR(INDEX('03.Muestra'!$C$8:$C$42,SMALL(IF("Página Web"='03.Muestra'!$D$8:$D$42,ROW('03.Muestra'!$C$8:$C$42)-MIN(ROW('03.Muestra'!$D$8:$D$42))+1,""),ROW()-436)),"")</f>
        <v/>
      </c>
      <c r="C451" s="114" t="str" cm="1">
        <f t="array" ref="C451">IFERROR(INDEX('03.Muestra'!$F$8:$F$42,SMALL(IF("Página Web"='03.Muestra'!$D$8:$D$42,ROW('03.Muestra'!$F$8:$F$42)-MIN(ROW('03.Muestra'!$D$8:$D$42))+1,""),ROW()-436)),"")</f>
        <v/>
      </c>
      <c r="D451" s="130" t="str">
        <f t="shared" si="23"/>
        <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5"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si="23"/>
        <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http://www.madrid.org/presupuestos</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Menu 1</v>
      </c>
      <c r="C476" s="114" t="str" cm="1">
        <f t="array" ref="C476">IFERROR(INDEX('03.Muestra'!$F$8:$F$42,SMALL(IF("Página Web"='03.Muestra'!$D$8:$D$42,ROW('03.Muestra'!$F$8:$F$42)-MIN(ROW('03.Muestra'!$D$8:$D$42))+1,""),ROW()-474)),"")</f>
        <v>http://www.madrid.org/presupuestos/index.php/presupuestos-generales/presupuestos-cm/2022</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5</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Menu 2</v>
      </c>
      <c r="C477" s="114" t="str" cm="1">
        <f t="array" ref="C477">IFERROR(INDEX('03.Muestra'!$F$8:$F$42,SMALL(IF("Página Web"='03.Muestra'!$D$8:$D$42,ROW('03.Muestra'!$F$8:$F$42)-MIN(ROW('03.Muestra'!$D$8:$D$42))+1,""),ROW()-474)),"")</f>
        <v>http://www.madrid.org/presupuestos/index.php/ejecucion-presupuestaria</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Menu 3</v>
      </c>
      <c r="C478" s="114" t="str" cm="1">
        <f t="array" ref="C478">IFERROR(INDEX('03.Muestra'!$F$8:$F$42,SMALL(IF("Página Web"='03.Muestra'!$D$8:$D$42,ROW('03.Muestra'!$F$8:$F$42)-MIN(ROW('03.Muestra'!$D$8:$D$42))+1,""),ROW()-474)),"")</f>
        <v>http://www.madrid.org/presupuestos/index.php/transparencia</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Accesibilidad</v>
      </c>
      <c r="C479" s="114" t="str" cm="1">
        <f t="array" ref="C479">IFERROR(INDEX('03.Muestra'!$F$8:$F$42,SMALL(IF("Página Web"='03.Muestra'!$D$8:$D$42,ROW('03.Muestra'!$F$8:$F$42)-MIN(ROW('03.Muestra'!$D$8:$D$42))+1,""),ROW()-474)),"")</f>
        <v>http://www.madrid.org/presupuestos/index.php/accesibilidad-web</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IFERROR(INDEX('03.Muestra'!$B$8:$B$42,SMALL(IF("Página Web"='03.Muestra'!$D$8:$D$42,ROW('03.Muestra'!$B$8:$B$42)-MIN(ROW('03.Muestra'!$D$8:$D$42))+1,""),ROW()-474)),"")</f>
        <v/>
      </c>
      <c r="B480" s="114" t="str" cm="1">
        <f t="array" ref="B480">IFERROR(INDEX('03.Muestra'!$C$8:$C$42,SMALL(IF("Página Web"='03.Muestra'!$D$8:$D$42,ROW('03.Muestra'!$C$8:$C$42)-MIN(ROW('03.Muestra'!$D$8:$D$42))+1,""),ROW()-474)),"")</f>
        <v/>
      </c>
      <c r="C480" s="114" t="str" cm="1">
        <f t="array" ref="C480">IFERROR(INDEX('03.Muestra'!$F$8:$F$42,SMALL(IF("Página Web"='03.Muestra'!$D$8:$D$42,ROW('03.Muestra'!$F$8:$F$42)-MIN(ROW('03.Muestra'!$D$8:$D$42))+1,""),ROW()-474)),"")</f>
        <v/>
      </c>
      <c r="D480" s="130" t="str">
        <f t="shared" ref="D480:D509" si="25">IF(AND(B480&lt;&gt;"",C480&lt;&gt;""),"N/T","")</f>
        <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IFERROR(INDEX('03.Muestra'!$B$8:$B$42,SMALL(IF("Página Web"='03.Muestra'!$D$8:$D$42,ROW('03.Muestra'!$B$8:$B$42)-MIN(ROW('03.Muestra'!$D$8:$D$42))+1,""),ROW()-474)),"")</f>
        <v/>
      </c>
      <c r="B481" s="114" t="str" cm="1">
        <f t="array" ref="B481">IFERROR(INDEX('03.Muestra'!$C$8:$C$42,SMALL(IF("Página Web"='03.Muestra'!$D$8:$D$42,ROW('03.Muestra'!$C$8:$C$42)-MIN(ROW('03.Muestra'!$D$8:$D$42))+1,""),ROW()-474)),"")</f>
        <v/>
      </c>
      <c r="C481" s="114" t="str" cm="1">
        <f t="array" ref="C481">IFERROR(INDEX('03.Muestra'!$F$8:$F$42,SMALL(IF("Página Web"='03.Muestra'!$D$8:$D$42,ROW('03.Muestra'!$F$8:$F$42)-MIN(ROW('03.Muestra'!$D$8:$D$42))+1,""),ROW()-474)),"")</f>
        <v/>
      </c>
      <c r="D481" s="130" t="str">
        <f t="shared" si="25"/>
        <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IFERROR(INDEX('03.Muestra'!$B$8:$B$42,SMALL(IF("Página Web"='03.Muestra'!$D$8:$D$42,ROW('03.Muestra'!$B$8:$B$42)-MIN(ROW('03.Muestra'!$D$8:$D$42))+1,""),ROW()-474)),"")</f>
        <v/>
      </c>
      <c r="B482" s="114" t="str" cm="1">
        <f t="array" ref="B482">IFERROR(INDEX('03.Muestra'!$C$8:$C$42,SMALL(IF("Página Web"='03.Muestra'!$D$8:$D$42,ROW('03.Muestra'!$C$8:$C$42)-MIN(ROW('03.Muestra'!$D$8:$D$42))+1,""),ROW()-474)),"")</f>
        <v/>
      </c>
      <c r="C482" s="114" t="str" cm="1">
        <f t="array" ref="C482">IFERROR(INDEX('03.Muestra'!$F$8:$F$42,SMALL(IF("Página Web"='03.Muestra'!$D$8:$D$42,ROW('03.Muestra'!$F$8:$F$42)-MIN(ROW('03.Muestra'!$D$8:$D$42))+1,""),ROW()-474)),"")</f>
        <v/>
      </c>
      <c r="D482" s="130" t="str">
        <f t="shared" si="25"/>
        <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IFERROR(INDEX('03.Muestra'!$B$8:$B$42,SMALL(IF("Página Web"='03.Muestra'!$D$8:$D$42,ROW('03.Muestra'!$B$8:$B$42)-MIN(ROW('03.Muestra'!$D$8:$D$42))+1,""),ROW()-474)),"")</f>
        <v/>
      </c>
      <c r="B483" s="114" t="str" cm="1">
        <f t="array" ref="B483">IFERROR(INDEX('03.Muestra'!$C$8:$C$42,SMALL(IF("Página Web"='03.Muestra'!$D$8:$D$42,ROW('03.Muestra'!$C$8:$C$42)-MIN(ROW('03.Muestra'!$D$8:$D$42))+1,""),ROW()-474)),"")</f>
        <v/>
      </c>
      <c r="C483" s="114" t="str" cm="1">
        <f t="array" ref="C483">IFERROR(INDEX('03.Muestra'!$F$8:$F$42,SMALL(IF("Página Web"='03.Muestra'!$D$8:$D$42,ROW('03.Muestra'!$F$8:$F$42)-MIN(ROW('03.Muestra'!$D$8:$D$42))+1,""),ROW()-474)),"")</f>
        <v/>
      </c>
      <c r="D483" s="130" t="str">
        <f t="shared" si="25"/>
        <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IFERROR(INDEX('03.Muestra'!$B$8:$B$42,SMALL(IF("Página Web"='03.Muestra'!$D$8:$D$42,ROW('03.Muestra'!$B$8:$B$42)-MIN(ROW('03.Muestra'!$D$8:$D$42))+1,""),ROW()-474)),"")</f>
        <v/>
      </c>
      <c r="B484" s="114" t="str" cm="1">
        <f t="array" ref="B484">IFERROR(INDEX('03.Muestra'!$C$8:$C$42,SMALL(IF("Página Web"='03.Muestra'!$D$8:$D$42,ROW('03.Muestra'!$C$8:$C$42)-MIN(ROW('03.Muestra'!$D$8:$D$42))+1,""),ROW()-474)),"")</f>
        <v/>
      </c>
      <c r="C484" s="114" t="str" cm="1">
        <f t="array" ref="C484">IFERROR(INDEX('03.Muestra'!$F$8:$F$42,SMALL(IF("Página Web"='03.Muestra'!$D$8:$D$42,ROW('03.Muestra'!$F$8:$F$42)-MIN(ROW('03.Muestra'!$D$8:$D$42))+1,""),ROW()-474)),"")</f>
        <v/>
      </c>
      <c r="D484" s="130" t="str">
        <f t="shared" si="25"/>
        <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IFERROR(INDEX('03.Muestra'!$B$8:$B$42,SMALL(IF("Página Web"='03.Muestra'!$D$8:$D$42,ROW('03.Muestra'!$B$8:$B$42)-MIN(ROW('03.Muestra'!$D$8:$D$42))+1,""),ROW()-474)),"")</f>
        <v/>
      </c>
      <c r="B485" s="114" t="str" cm="1">
        <f t="array" ref="B485">IFERROR(INDEX('03.Muestra'!$C$8:$C$42,SMALL(IF("Página Web"='03.Muestra'!$D$8:$D$42,ROW('03.Muestra'!$C$8:$C$42)-MIN(ROW('03.Muestra'!$D$8:$D$42))+1,""),ROW()-474)),"")</f>
        <v/>
      </c>
      <c r="C485" s="114" t="str" cm="1">
        <f t="array" ref="C485">IFERROR(INDEX('03.Muestra'!$F$8:$F$42,SMALL(IF("Página Web"='03.Muestra'!$D$8:$D$42,ROW('03.Muestra'!$F$8:$F$42)-MIN(ROW('03.Muestra'!$D$8:$D$42))+1,""),ROW()-474)),"")</f>
        <v/>
      </c>
      <c r="D485" s="130" t="str">
        <f t="shared" si="25"/>
        <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IFERROR(INDEX('03.Muestra'!$B$8:$B$42,SMALL(IF("Página Web"='03.Muestra'!$D$8:$D$42,ROW('03.Muestra'!$B$8:$B$42)-MIN(ROW('03.Muestra'!$D$8:$D$42))+1,""),ROW()-474)),"")</f>
        <v/>
      </c>
      <c r="B486" s="114" t="str" cm="1">
        <f t="array" ref="B486">IFERROR(INDEX('03.Muestra'!$C$8:$C$42,SMALL(IF("Página Web"='03.Muestra'!$D$8:$D$42,ROW('03.Muestra'!$C$8:$C$42)-MIN(ROW('03.Muestra'!$D$8:$D$42))+1,""),ROW()-474)),"")</f>
        <v/>
      </c>
      <c r="C486" s="114" t="str" cm="1">
        <f t="array" ref="C486">IFERROR(INDEX('03.Muestra'!$F$8:$F$42,SMALL(IF("Página Web"='03.Muestra'!$D$8:$D$42,ROW('03.Muestra'!$F$8:$F$42)-MIN(ROW('03.Muestra'!$D$8:$D$42))+1,""),ROW()-474)),"")</f>
        <v/>
      </c>
      <c r="D486" s="130" t="str">
        <f t="shared" si="25"/>
        <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5" customHeight="1">
      <c r="A487" s="219" t="str" cm="1">
        <f t="array" ref="A487">IFERROR(INDEX('03.Muestra'!$B$8:$B$42,SMALL(IF("Página Web"='03.Muestra'!$D$8:$D$42,ROW('03.Muestra'!$B$8:$B$42)-MIN(ROW('03.Muestra'!$D$8:$D$42))+1,""),ROW()-474)),"")</f>
        <v/>
      </c>
      <c r="B487" s="114" t="str" cm="1">
        <f t="array" ref="B487">IFERROR(INDEX('03.Muestra'!$C$8:$C$42,SMALL(IF("Página Web"='03.Muestra'!$D$8:$D$42,ROW('03.Muestra'!$C$8:$C$42)-MIN(ROW('03.Muestra'!$D$8:$D$42))+1,""),ROW()-474)),"")</f>
        <v/>
      </c>
      <c r="C487" s="114" t="str" cm="1">
        <f t="array" ref="C487">IFERROR(INDEX('03.Muestra'!$F$8:$F$42,SMALL(IF("Página Web"='03.Muestra'!$D$8:$D$42,ROW('03.Muestra'!$F$8:$F$42)-MIN(ROW('03.Muestra'!$D$8:$D$42))+1,""),ROW()-474)),"")</f>
        <v/>
      </c>
      <c r="D487" s="130" t="str">
        <f t="shared" si="25"/>
        <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5" customHeight="1">
      <c r="A488" s="219" t="str" cm="1">
        <f t="array" ref="A488">IFERROR(INDEX('03.Muestra'!$B$8:$B$42,SMALL(IF("Página Web"='03.Muestra'!$D$8:$D$42,ROW('03.Muestra'!$B$8:$B$42)-MIN(ROW('03.Muestra'!$D$8:$D$42))+1,""),ROW()-474)),"")</f>
        <v/>
      </c>
      <c r="B488" s="114" t="str" cm="1">
        <f t="array" ref="B488">IFERROR(INDEX('03.Muestra'!$C$8:$C$42,SMALL(IF("Página Web"='03.Muestra'!$D$8:$D$42,ROW('03.Muestra'!$C$8:$C$42)-MIN(ROW('03.Muestra'!$D$8:$D$42))+1,""),ROW()-474)),"")</f>
        <v/>
      </c>
      <c r="C488" s="114" t="str" cm="1">
        <f t="array" ref="C488">IFERROR(INDEX('03.Muestra'!$F$8:$F$42,SMALL(IF("Página Web"='03.Muestra'!$D$8:$D$42,ROW('03.Muestra'!$F$8:$F$42)-MIN(ROW('03.Muestra'!$D$8:$D$42))+1,""),ROW()-474)),"")</f>
        <v/>
      </c>
      <c r="D488" s="130" t="str">
        <f t="shared" si="25"/>
        <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5" customHeight="1">
      <c r="A489" s="219" t="str" cm="1">
        <f t="array" ref="A489">IFERROR(INDEX('03.Muestra'!$B$8:$B$42,SMALL(IF("Página Web"='03.Muestra'!$D$8:$D$42,ROW('03.Muestra'!$B$8:$B$42)-MIN(ROW('03.Muestra'!$D$8:$D$42))+1,""),ROW()-474)),"")</f>
        <v/>
      </c>
      <c r="B489" s="114" t="str" cm="1">
        <f t="array" ref="B489">IFERROR(INDEX('03.Muestra'!$C$8:$C$42,SMALL(IF("Página Web"='03.Muestra'!$D$8:$D$42,ROW('03.Muestra'!$C$8:$C$42)-MIN(ROW('03.Muestra'!$D$8:$D$42))+1,""),ROW()-474)),"")</f>
        <v/>
      </c>
      <c r="C489" s="114" t="str" cm="1">
        <f t="array" ref="C489">IFERROR(INDEX('03.Muestra'!$F$8:$F$42,SMALL(IF("Página Web"='03.Muestra'!$D$8:$D$42,ROW('03.Muestra'!$F$8:$F$42)-MIN(ROW('03.Muestra'!$D$8:$D$42))+1,""),ROW()-474)),"")</f>
        <v/>
      </c>
      <c r="D489" s="130" t="str">
        <f t="shared" si="25"/>
        <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5"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si="25"/>
        <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http://www.madrid.org/presupuestos</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Menu 1</v>
      </c>
      <c r="C514" s="114" t="str" cm="1">
        <f t="array" ref="C514">IFERROR(INDEX('03.Muestra'!$F$8:$F$42,SMALL(IF("Página Web"='03.Muestra'!$D$8:$D$42,ROW('03.Muestra'!$F$8:$F$42)-MIN(ROW('03.Muestra'!$D$8:$D$42))+1,""),ROW()-512)),"")</f>
        <v>http://www.madrid.org/presupuestos/index.php/presupuestos-generales/presupuestos-cm/2022</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5</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Menu 2</v>
      </c>
      <c r="C515" s="114" t="str" cm="1">
        <f t="array" ref="C515">IFERROR(INDEX('03.Muestra'!$F$8:$F$42,SMALL(IF("Página Web"='03.Muestra'!$D$8:$D$42,ROW('03.Muestra'!$F$8:$F$42)-MIN(ROW('03.Muestra'!$D$8:$D$42))+1,""),ROW()-512)),"")</f>
        <v>http://www.madrid.org/presupuestos/index.php/ejecucion-presupuestaria</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Menu 3</v>
      </c>
      <c r="C516" s="114" t="str" cm="1">
        <f t="array" ref="C516">IFERROR(INDEX('03.Muestra'!$F$8:$F$42,SMALL(IF("Página Web"='03.Muestra'!$D$8:$D$42,ROW('03.Muestra'!$F$8:$F$42)-MIN(ROW('03.Muestra'!$D$8:$D$42))+1,""),ROW()-512)),"")</f>
        <v>http://www.madrid.org/presupuestos/index.php/transparencia</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Accesibilidad</v>
      </c>
      <c r="C517" s="114" t="str" cm="1">
        <f t="array" ref="C517">IFERROR(INDEX('03.Muestra'!$F$8:$F$42,SMALL(IF("Página Web"='03.Muestra'!$D$8:$D$42,ROW('03.Muestra'!$F$8:$F$42)-MIN(ROW('03.Muestra'!$D$8:$D$42))+1,""),ROW()-512)),"")</f>
        <v>http://www.madrid.org/presupuestos/index.php/accesibilidad-web</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IFERROR(INDEX('03.Muestra'!$B$8:$B$42,SMALL(IF("Página Web"='03.Muestra'!$D$8:$D$42,ROW('03.Muestra'!$B$8:$B$42)-MIN(ROW('03.Muestra'!$D$8:$D$42))+1,""),ROW()-512)),"")</f>
        <v/>
      </c>
      <c r="B518" s="114" t="str" cm="1">
        <f t="array" ref="B518">IFERROR(INDEX('03.Muestra'!$C$8:$C$42,SMALL(IF("Página Web"='03.Muestra'!$D$8:$D$42,ROW('03.Muestra'!$C$8:$C$42)-MIN(ROW('03.Muestra'!$D$8:$D$42))+1,""),ROW()-512)),"")</f>
        <v/>
      </c>
      <c r="C518" s="114" t="str" cm="1">
        <f t="array" ref="C518">IFERROR(INDEX('03.Muestra'!$F$8:$F$42,SMALL(IF("Página Web"='03.Muestra'!$D$8:$D$42,ROW('03.Muestra'!$F$8:$F$42)-MIN(ROW('03.Muestra'!$D$8:$D$42))+1,""),ROW()-512)),"")</f>
        <v/>
      </c>
      <c r="D518" s="130" t="str">
        <f t="shared" ref="D518:D547" si="27">IF(AND(B518&lt;&gt;"",C518&lt;&gt;""),"N/T","")</f>
        <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IFERROR(INDEX('03.Muestra'!$B$8:$B$42,SMALL(IF("Página Web"='03.Muestra'!$D$8:$D$42,ROW('03.Muestra'!$B$8:$B$42)-MIN(ROW('03.Muestra'!$D$8:$D$42))+1,""),ROW()-512)),"")</f>
        <v/>
      </c>
      <c r="B519" s="114" t="str" cm="1">
        <f t="array" ref="B519">IFERROR(INDEX('03.Muestra'!$C$8:$C$42,SMALL(IF("Página Web"='03.Muestra'!$D$8:$D$42,ROW('03.Muestra'!$C$8:$C$42)-MIN(ROW('03.Muestra'!$D$8:$D$42))+1,""),ROW()-512)),"")</f>
        <v/>
      </c>
      <c r="C519" s="114" t="str" cm="1">
        <f t="array" ref="C519">IFERROR(INDEX('03.Muestra'!$F$8:$F$42,SMALL(IF("Página Web"='03.Muestra'!$D$8:$D$42,ROW('03.Muestra'!$F$8:$F$42)-MIN(ROW('03.Muestra'!$D$8:$D$42))+1,""),ROW()-512)),"")</f>
        <v/>
      </c>
      <c r="D519" s="130" t="str">
        <f t="shared" si="27"/>
        <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IFERROR(INDEX('03.Muestra'!$B$8:$B$42,SMALL(IF("Página Web"='03.Muestra'!$D$8:$D$42,ROW('03.Muestra'!$B$8:$B$42)-MIN(ROW('03.Muestra'!$D$8:$D$42))+1,""),ROW()-512)),"")</f>
        <v/>
      </c>
      <c r="B520" s="114" t="str" cm="1">
        <f t="array" ref="B520">IFERROR(INDEX('03.Muestra'!$C$8:$C$42,SMALL(IF("Página Web"='03.Muestra'!$D$8:$D$42,ROW('03.Muestra'!$C$8:$C$42)-MIN(ROW('03.Muestra'!$D$8:$D$42))+1,""),ROW()-512)),"")</f>
        <v/>
      </c>
      <c r="C520" s="114" t="str" cm="1">
        <f t="array" ref="C520">IFERROR(INDEX('03.Muestra'!$F$8:$F$42,SMALL(IF("Página Web"='03.Muestra'!$D$8:$D$42,ROW('03.Muestra'!$F$8:$F$42)-MIN(ROW('03.Muestra'!$D$8:$D$42))+1,""),ROW()-512)),"")</f>
        <v/>
      </c>
      <c r="D520" s="130" t="str">
        <f t="shared" si="27"/>
        <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IFERROR(INDEX('03.Muestra'!$B$8:$B$42,SMALL(IF("Página Web"='03.Muestra'!$D$8:$D$42,ROW('03.Muestra'!$B$8:$B$42)-MIN(ROW('03.Muestra'!$D$8:$D$42))+1,""),ROW()-512)),"")</f>
        <v/>
      </c>
      <c r="B521" s="114" t="str" cm="1">
        <f t="array" ref="B521">IFERROR(INDEX('03.Muestra'!$C$8:$C$42,SMALL(IF("Página Web"='03.Muestra'!$D$8:$D$42,ROW('03.Muestra'!$C$8:$C$42)-MIN(ROW('03.Muestra'!$D$8:$D$42))+1,""),ROW()-512)),"")</f>
        <v/>
      </c>
      <c r="C521" s="114" t="str" cm="1">
        <f t="array" ref="C521">IFERROR(INDEX('03.Muestra'!$F$8:$F$42,SMALL(IF("Página Web"='03.Muestra'!$D$8:$D$42,ROW('03.Muestra'!$F$8:$F$42)-MIN(ROW('03.Muestra'!$D$8:$D$42))+1,""),ROW()-512)),"")</f>
        <v/>
      </c>
      <c r="D521" s="130" t="str">
        <f t="shared" si="27"/>
        <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IFERROR(INDEX('03.Muestra'!$B$8:$B$42,SMALL(IF("Página Web"='03.Muestra'!$D$8:$D$42,ROW('03.Muestra'!$B$8:$B$42)-MIN(ROW('03.Muestra'!$D$8:$D$42))+1,""),ROW()-512)),"")</f>
        <v/>
      </c>
      <c r="B522" s="114" t="str" cm="1">
        <f t="array" ref="B522">IFERROR(INDEX('03.Muestra'!$C$8:$C$42,SMALL(IF("Página Web"='03.Muestra'!$D$8:$D$42,ROW('03.Muestra'!$C$8:$C$42)-MIN(ROW('03.Muestra'!$D$8:$D$42))+1,""),ROW()-512)),"")</f>
        <v/>
      </c>
      <c r="C522" s="114" t="str" cm="1">
        <f t="array" ref="C522">IFERROR(INDEX('03.Muestra'!$F$8:$F$42,SMALL(IF("Página Web"='03.Muestra'!$D$8:$D$42,ROW('03.Muestra'!$F$8:$F$42)-MIN(ROW('03.Muestra'!$D$8:$D$42))+1,""),ROW()-512)),"")</f>
        <v/>
      </c>
      <c r="D522" s="130" t="str">
        <f t="shared" si="27"/>
        <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IFERROR(INDEX('03.Muestra'!$B$8:$B$42,SMALL(IF("Página Web"='03.Muestra'!$D$8:$D$42,ROW('03.Muestra'!$B$8:$B$42)-MIN(ROW('03.Muestra'!$D$8:$D$42))+1,""),ROW()-512)),"")</f>
        <v/>
      </c>
      <c r="B523" s="114" t="str" cm="1">
        <f t="array" ref="B523">IFERROR(INDEX('03.Muestra'!$C$8:$C$42,SMALL(IF("Página Web"='03.Muestra'!$D$8:$D$42,ROW('03.Muestra'!$C$8:$C$42)-MIN(ROW('03.Muestra'!$D$8:$D$42))+1,""),ROW()-512)),"")</f>
        <v/>
      </c>
      <c r="C523" s="114" t="str" cm="1">
        <f t="array" ref="C523">IFERROR(INDEX('03.Muestra'!$F$8:$F$42,SMALL(IF("Página Web"='03.Muestra'!$D$8:$D$42,ROW('03.Muestra'!$F$8:$F$42)-MIN(ROW('03.Muestra'!$D$8:$D$42))+1,""),ROW()-512)),"")</f>
        <v/>
      </c>
      <c r="D523" s="130" t="str">
        <f t="shared" si="27"/>
        <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IFERROR(INDEX('03.Muestra'!$B$8:$B$42,SMALL(IF("Página Web"='03.Muestra'!$D$8:$D$42,ROW('03.Muestra'!$B$8:$B$42)-MIN(ROW('03.Muestra'!$D$8:$D$42))+1,""),ROW()-512)),"")</f>
        <v/>
      </c>
      <c r="B524" s="114" t="str" cm="1">
        <f t="array" ref="B524">IFERROR(INDEX('03.Muestra'!$C$8:$C$42,SMALL(IF("Página Web"='03.Muestra'!$D$8:$D$42,ROW('03.Muestra'!$C$8:$C$42)-MIN(ROW('03.Muestra'!$D$8:$D$42))+1,""),ROW()-512)),"")</f>
        <v/>
      </c>
      <c r="C524" s="114" t="str" cm="1">
        <f t="array" ref="C524">IFERROR(INDEX('03.Muestra'!$F$8:$F$42,SMALL(IF("Página Web"='03.Muestra'!$D$8:$D$42,ROW('03.Muestra'!$F$8:$F$42)-MIN(ROW('03.Muestra'!$D$8:$D$42))+1,""),ROW()-512)),"")</f>
        <v/>
      </c>
      <c r="D524" s="130" t="str">
        <f t="shared" si="27"/>
        <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5" customHeight="1">
      <c r="A525" s="219" t="str" cm="1">
        <f t="array" ref="A525">IFERROR(INDEX('03.Muestra'!$B$8:$B$42,SMALL(IF("Página Web"='03.Muestra'!$D$8:$D$42,ROW('03.Muestra'!$B$8:$B$42)-MIN(ROW('03.Muestra'!$D$8:$D$42))+1,""),ROW()-512)),"")</f>
        <v/>
      </c>
      <c r="B525" s="114" t="str" cm="1">
        <f t="array" ref="B525">IFERROR(INDEX('03.Muestra'!$C$8:$C$42,SMALL(IF("Página Web"='03.Muestra'!$D$8:$D$42,ROW('03.Muestra'!$C$8:$C$42)-MIN(ROW('03.Muestra'!$D$8:$D$42))+1,""),ROW()-512)),"")</f>
        <v/>
      </c>
      <c r="C525" s="114" t="str" cm="1">
        <f t="array" ref="C525">IFERROR(INDEX('03.Muestra'!$F$8:$F$42,SMALL(IF("Página Web"='03.Muestra'!$D$8:$D$42,ROW('03.Muestra'!$F$8:$F$42)-MIN(ROW('03.Muestra'!$D$8:$D$42))+1,""),ROW()-512)),"")</f>
        <v/>
      </c>
      <c r="D525" s="130" t="str">
        <f t="shared" si="27"/>
        <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5" customHeight="1">
      <c r="A526" s="219" t="str" cm="1">
        <f t="array" ref="A526">IFERROR(INDEX('03.Muestra'!$B$8:$B$42,SMALL(IF("Página Web"='03.Muestra'!$D$8:$D$42,ROW('03.Muestra'!$B$8:$B$42)-MIN(ROW('03.Muestra'!$D$8:$D$42))+1,""),ROW()-512)),"")</f>
        <v/>
      </c>
      <c r="B526" s="114" t="str" cm="1">
        <f t="array" ref="B526">IFERROR(INDEX('03.Muestra'!$C$8:$C$42,SMALL(IF("Página Web"='03.Muestra'!$D$8:$D$42,ROW('03.Muestra'!$C$8:$C$42)-MIN(ROW('03.Muestra'!$D$8:$D$42))+1,""),ROW()-512)),"")</f>
        <v/>
      </c>
      <c r="C526" s="114" t="str" cm="1">
        <f t="array" ref="C526">IFERROR(INDEX('03.Muestra'!$F$8:$F$42,SMALL(IF("Página Web"='03.Muestra'!$D$8:$D$42,ROW('03.Muestra'!$F$8:$F$42)-MIN(ROW('03.Muestra'!$D$8:$D$42))+1,""),ROW()-512)),"")</f>
        <v/>
      </c>
      <c r="D526" s="130" t="str">
        <f t="shared" si="27"/>
        <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5" customHeight="1">
      <c r="A527" s="219" t="str" cm="1">
        <f t="array" ref="A527">IFERROR(INDEX('03.Muestra'!$B$8:$B$42,SMALL(IF("Página Web"='03.Muestra'!$D$8:$D$42,ROW('03.Muestra'!$B$8:$B$42)-MIN(ROW('03.Muestra'!$D$8:$D$42))+1,""),ROW()-512)),"")</f>
        <v/>
      </c>
      <c r="B527" s="114" t="str" cm="1">
        <f t="array" ref="B527">IFERROR(INDEX('03.Muestra'!$C$8:$C$42,SMALL(IF("Página Web"='03.Muestra'!$D$8:$D$42,ROW('03.Muestra'!$C$8:$C$42)-MIN(ROW('03.Muestra'!$D$8:$D$42))+1,""),ROW()-512)),"")</f>
        <v/>
      </c>
      <c r="C527" s="114" t="str" cm="1">
        <f t="array" ref="C527">IFERROR(INDEX('03.Muestra'!$F$8:$F$42,SMALL(IF("Página Web"='03.Muestra'!$D$8:$D$42,ROW('03.Muestra'!$F$8:$F$42)-MIN(ROW('03.Muestra'!$D$8:$D$42))+1,""),ROW()-512)),"")</f>
        <v/>
      </c>
      <c r="D527" s="130" t="str">
        <f t="shared" si="27"/>
        <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5"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si="27"/>
        <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http://www.madrid.org/presupuestos</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Menu 1</v>
      </c>
      <c r="C552" s="114" t="str" cm="1">
        <f t="array" ref="C552">IFERROR(INDEX('03.Muestra'!$F$8:$F$42,SMALL(IF("Página Web"='03.Muestra'!$D$8:$D$42,ROW('03.Muestra'!$F$8:$F$42)-MIN(ROW('03.Muestra'!$D$8:$D$42))+1,""),ROW()-550)),"")</f>
        <v>http://www.madrid.org/presupuestos/index.php/presupuestos-generales/presupuestos-cm/2022</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5</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Menu 2</v>
      </c>
      <c r="C553" s="114" t="str" cm="1">
        <f t="array" ref="C553">IFERROR(INDEX('03.Muestra'!$F$8:$F$42,SMALL(IF("Página Web"='03.Muestra'!$D$8:$D$42,ROW('03.Muestra'!$F$8:$F$42)-MIN(ROW('03.Muestra'!$D$8:$D$42))+1,""),ROW()-550)),"")</f>
        <v>http://www.madrid.org/presupuestos/index.php/ejecucion-presupuestaria</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Menu 3</v>
      </c>
      <c r="C554" s="114" t="str" cm="1">
        <f t="array" ref="C554">IFERROR(INDEX('03.Muestra'!$F$8:$F$42,SMALL(IF("Página Web"='03.Muestra'!$D$8:$D$42,ROW('03.Muestra'!$F$8:$F$42)-MIN(ROW('03.Muestra'!$D$8:$D$42))+1,""),ROW()-550)),"")</f>
        <v>http://www.madrid.org/presupuestos/index.php/transparencia</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Accesibilidad</v>
      </c>
      <c r="C555" s="114" t="str" cm="1">
        <f t="array" ref="C555">IFERROR(INDEX('03.Muestra'!$F$8:$F$42,SMALL(IF("Página Web"='03.Muestra'!$D$8:$D$42,ROW('03.Muestra'!$F$8:$F$42)-MIN(ROW('03.Muestra'!$D$8:$D$42))+1,""),ROW()-550)),"")</f>
        <v>http://www.madrid.org/presupuestos/index.php/accesibilidad-web</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IFERROR(INDEX('03.Muestra'!$B$8:$B$42,SMALL(IF("Página Web"='03.Muestra'!$D$8:$D$42,ROW('03.Muestra'!$B$8:$B$42)-MIN(ROW('03.Muestra'!$D$8:$D$42))+1,""),ROW()-550)),"")</f>
        <v/>
      </c>
      <c r="B556" s="114" t="str" cm="1">
        <f t="array" ref="B556">IFERROR(INDEX('03.Muestra'!$C$8:$C$42,SMALL(IF("Página Web"='03.Muestra'!$D$8:$D$42,ROW('03.Muestra'!$C$8:$C$42)-MIN(ROW('03.Muestra'!$D$8:$D$42))+1,""),ROW()-550)),"")</f>
        <v/>
      </c>
      <c r="C556" s="114" t="str" cm="1">
        <f t="array" ref="C556">IFERROR(INDEX('03.Muestra'!$F$8:$F$42,SMALL(IF("Página Web"='03.Muestra'!$D$8:$D$42,ROW('03.Muestra'!$F$8:$F$42)-MIN(ROW('03.Muestra'!$D$8:$D$42))+1,""),ROW()-550)),"")</f>
        <v/>
      </c>
      <c r="D556" s="130" t="str">
        <f t="shared" ref="D556:D585" si="29">IF(AND(B556&lt;&gt;"",C556&lt;&gt;""),"N/T","")</f>
        <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IFERROR(INDEX('03.Muestra'!$B$8:$B$42,SMALL(IF("Página Web"='03.Muestra'!$D$8:$D$42,ROW('03.Muestra'!$B$8:$B$42)-MIN(ROW('03.Muestra'!$D$8:$D$42))+1,""),ROW()-550)),"")</f>
        <v/>
      </c>
      <c r="B557" s="114" t="str" cm="1">
        <f t="array" ref="B557">IFERROR(INDEX('03.Muestra'!$C$8:$C$42,SMALL(IF("Página Web"='03.Muestra'!$D$8:$D$42,ROW('03.Muestra'!$C$8:$C$42)-MIN(ROW('03.Muestra'!$D$8:$D$42))+1,""),ROW()-550)),"")</f>
        <v/>
      </c>
      <c r="C557" s="114" t="str" cm="1">
        <f t="array" ref="C557">IFERROR(INDEX('03.Muestra'!$F$8:$F$42,SMALL(IF("Página Web"='03.Muestra'!$D$8:$D$42,ROW('03.Muestra'!$F$8:$F$42)-MIN(ROW('03.Muestra'!$D$8:$D$42))+1,""),ROW()-550)),"")</f>
        <v/>
      </c>
      <c r="D557" s="130" t="str">
        <f t="shared" si="29"/>
        <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IFERROR(INDEX('03.Muestra'!$B$8:$B$42,SMALL(IF("Página Web"='03.Muestra'!$D$8:$D$42,ROW('03.Muestra'!$B$8:$B$42)-MIN(ROW('03.Muestra'!$D$8:$D$42))+1,""),ROW()-550)),"")</f>
        <v/>
      </c>
      <c r="B558" s="114" t="str" cm="1">
        <f t="array" ref="B558">IFERROR(INDEX('03.Muestra'!$C$8:$C$42,SMALL(IF("Página Web"='03.Muestra'!$D$8:$D$42,ROW('03.Muestra'!$C$8:$C$42)-MIN(ROW('03.Muestra'!$D$8:$D$42))+1,""),ROW()-550)),"")</f>
        <v/>
      </c>
      <c r="C558" s="114" t="str" cm="1">
        <f t="array" ref="C558">IFERROR(INDEX('03.Muestra'!$F$8:$F$42,SMALL(IF("Página Web"='03.Muestra'!$D$8:$D$42,ROW('03.Muestra'!$F$8:$F$42)-MIN(ROW('03.Muestra'!$D$8:$D$42))+1,""),ROW()-550)),"")</f>
        <v/>
      </c>
      <c r="D558" s="130" t="str">
        <f t="shared" si="29"/>
        <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IFERROR(INDEX('03.Muestra'!$B$8:$B$42,SMALL(IF("Página Web"='03.Muestra'!$D$8:$D$42,ROW('03.Muestra'!$B$8:$B$42)-MIN(ROW('03.Muestra'!$D$8:$D$42))+1,""),ROW()-550)),"")</f>
        <v/>
      </c>
      <c r="B559" s="114" t="str" cm="1">
        <f t="array" ref="B559">IFERROR(INDEX('03.Muestra'!$C$8:$C$42,SMALL(IF("Página Web"='03.Muestra'!$D$8:$D$42,ROW('03.Muestra'!$C$8:$C$42)-MIN(ROW('03.Muestra'!$D$8:$D$42))+1,""),ROW()-550)),"")</f>
        <v/>
      </c>
      <c r="C559" s="114" t="str" cm="1">
        <f t="array" ref="C559">IFERROR(INDEX('03.Muestra'!$F$8:$F$42,SMALL(IF("Página Web"='03.Muestra'!$D$8:$D$42,ROW('03.Muestra'!$F$8:$F$42)-MIN(ROW('03.Muestra'!$D$8:$D$42))+1,""),ROW()-550)),"")</f>
        <v/>
      </c>
      <c r="D559" s="130" t="str">
        <f t="shared" si="29"/>
        <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IFERROR(INDEX('03.Muestra'!$B$8:$B$42,SMALL(IF("Página Web"='03.Muestra'!$D$8:$D$42,ROW('03.Muestra'!$B$8:$B$42)-MIN(ROW('03.Muestra'!$D$8:$D$42))+1,""),ROW()-550)),"")</f>
        <v/>
      </c>
      <c r="B560" s="114" t="str" cm="1">
        <f t="array" ref="B560">IFERROR(INDEX('03.Muestra'!$C$8:$C$42,SMALL(IF("Página Web"='03.Muestra'!$D$8:$D$42,ROW('03.Muestra'!$C$8:$C$42)-MIN(ROW('03.Muestra'!$D$8:$D$42))+1,""),ROW()-550)),"")</f>
        <v/>
      </c>
      <c r="C560" s="114" t="str" cm="1">
        <f t="array" ref="C560">IFERROR(INDEX('03.Muestra'!$F$8:$F$42,SMALL(IF("Página Web"='03.Muestra'!$D$8:$D$42,ROW('03.Muestra'!$F$8:$F$42)-MIN(ROW('03.Muestra'!$D$8:$D$42))+1,""),ROW()-550)),"")</f>
        <v/>
      </c>
      <c r="D560" s="130" t="str">
        <f t="shared" si="29"/>
        <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IFERROR(INDEX('03.Muestra'!$B$8:$B$42,SMALL(IF("Página Web"='03.Muestra'!$D$8:$D$42,ROW('03.Muestra'!$B$8:$B$42)-MIN(ROW('03.Muestra'!$D$8:$D$42))+1,""),ROW()-550)),"")</f>
        <v/>
      </c>
      <c r="B561" s="114" t="str" cm="1">
        <f t="array" ref="B561">IFERROR(INDEX('03.Muestra'!$C$8:$C$42,SMALL(IF("Página Web"='03.Muestra'!$D$8:$D$42,ROW('03.Muestra'!$C$8:$C$42)-MIN(ROW('03.Muestra'!$D$8:$D$42))+1,""),ROW()-550)),"")</f>
        <v/>
      </c>
      <c r="C561" s="114" t="str" cm="1">
        <f t="array" ref="C561">IFERROR(INDEX('03.Muestra'!$F$8:$F$42,SMALL(IF("Página Web"='03.Muestra'!$D$8:$D$42,ROW('03.Muestra'!$F$8:$F$42)-MIN(ROW('03.Muestra'!$D$8:$D$42))+1,""),ROW()-550)),"")</f>
        <v/>
      </c>
      <c r="D561" s="130" t="str">
        <f t="shared" si="29"/>
        <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IFERROR(INDEX('03.Muestra'!$B$8:$B$42,SMALL(IF("Página Web"='03.Muestra'!$D$8:$D$42,ROW('03.Muestra'!$B$8:$B$42)-MIN(ROW('03.Muestra'!$D$8:$D$42))+1,""),ROW()-550)),"")</f>
        <v/>
      </c>
      <c r="B562" s="114" t="str" cm="1">
        <f t="array" ref="B562">IFERROR(INDEX('03.Muestra'!$C$8:$C$42,SMALL(IF("Página Web"='03.Muestra'!$D$8:$D$42,ROW('03.Muestra'!$C$8:$C$42)-MIN(ROW('03.Muestra'!$D$8:$D$42))+1,""),ROW()-550)),"")</f>
        <v/>
      </c>
      <c r="C562" s="114" t="str" cm="1">
        <f t="array" ref="C562">IFERROR(INDEX('03.Muestra'!$F$8:$F$42,SMALL(IF("Página Web"='03.Muestra'!$D$8:$D$42,ROW('03.Muestra'!$F$8:$F$42)-MIN(ROW('03.Muestra'!$D$8:$D$42))+1,""),ROW()-550)),"")</f>
        <v/>
      </c>
      <c r="D562" s="130" t="str">
        <f t="shared" si="29"/>
        <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5" customHeight="1">
      <c r="A563" s="219" t="str" cm="1">
        <f t="array" ref="A563">IFERROR(INDEX('03.Muestra'!$B$8:$B$42,SMALL(IF("Página Web"='03.Muestra'!$D$8:$D$42,ROW('03.Muestra'!$B$8:$B$42)-MIN(ROW('03.Muestra'!$D$8:$D$42))+1,""),ROW()-550)),"")</f>
        <v/>
      </c>
      <c r="B563" s="114" t="str" cm="1">
        <f t="array" ref="B563">IFERROR(INDEX('03.Muestra'!$C$8:$C$42,SMALL(IF("Página Web"='03.Muestra'!$D$8:$D$42,ROW('03.Muestra'!$C$8:$C$42)-MIN(ROW('03.Muestra'!$D$8:$D$42))+1,""),ROW()-550)),"")</f>
        <v/>
      </c>
      <c r="C563" s="114" t="str" cm="1">
        <f t="array" ref="C563">IFERROR(INDEX('03.Muestra'!$F$8:$F$42,SMALL(IF("Página Web"='03.Muestra'!$D$8:$D$42,ROW('03.Muestra'!$F$8:$F$42)-MIN(ROW('03.Muestra'!$D$8:$D$42))+1,""),ROW()-550)),"")</f>
        <v/>
      </c>
      <c r="D563" s="130" t="str">
        <f t="shared" si="29"/>
        <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5" customHeight="1">
      <c r="A564" s="219" t="str" cm="1">
        <f t="array" ref="A564">IFERROR(INDEX('03.Muestra'!$B$8:$B$42,SMALL(IF("Página Web"='03.Muestra'!$D$8:$D$42,ROW('03.Muestra'!$B$8:$B$42)-MIN(ROW('03.Muestra'!$D$8:$D$42))+1,""),ROW()-550)),"")</f>
        <v/>
      </c>
      <c r="B564" s="114" t="str" cm="1">
        <f t="array" ref="B564">IFERROR(INDEX('03.Muestra'!$C$8:$C$42,SMALL(IF("Página Web"='03.Muestra'!$D$8:$D$42,ROW('03.Muestra'!$C$8:$C$42)-MIN(ROW('03.Muestra'!$D$8:$D$42))+1,""),ROW()-550)),"")</f>
        <v/>
      </c>
      <c r="C564" s="114" t="str" cm="1">
        <f t="array" ref="C564">IFERROR(INDEX('03.Muestra'!$F$8:$F$42,SMALL(IF("Página Web"='03.Muestra'!$D$8:$D$42,ROW('03.Muestra'!$F$8:$F$42)-MIN(ROW('03.Muestra'!$D$8:$D$42))+1,""),ROW()-550)),"")</f>
        <v/>
      </c>
      <c r="D564" s="130" t="str">
        <f t="shared" si="29"/>
        <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5" customHeight="1">
      <c r="A565" s="219" t="str" cm="1">
        <f t="array" ref="A565">IFERROR(INDEX('03.Muestra'!$B$8:$B$42,SMALL(IF("Página Web"='03.Muestra'!$D$8:$D$42,ROW('03.Muestra'!$B$8:$B$42)-MIN(ROW('03.Muestra'!$D$8:$D$42))+1,""),ROW()-550)),"")</f>
        <v/>
      </c>
      <c r="B565" s="114" t="str" cm="1">
        <f t="array" ref="B565">IFERROR(INDEX('03.Muestra'!$C$8:$C$42,SMALL(IF("Página Web"='03.Muestra'!$D$8:$D$42,ROW('03.Muestra'!$C$8:$C$42)-MIN(ROW('03.Muestra'!$D$8:$D$42))+1,""),ROW()-550)),"")</f>
        <v/>
      </c>
      <c r="C565" s="114" t="str" cm="1">
        <f t="array" ref="C565">IFERROR(INDEX('03.Muestra'!$F$8:$F$42,SMALL(IF("Página Web"='03.Muestra'!$D$8:$D$42,ROW('03.Muestra'!$F$8:$F$42)-MIN(ROW('03.Muestra'!$D$8:$D$42))+1,""),ROW()-550)),"")</f>
        <v/>
      </c>
      <c r="D565" s="130" t="str">
        <f t="shared" si="29"/>
        <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5"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si="29"/>
        <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http://www.madrid.org/presupuestos</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Menu 1</v>
      </c>
      <c r="C590" s="114" t="str" cm="1">
        <f t="array" ref="C590">IFERROR(INDEX('03.Muestra'!$F$8:$F$42,SMALL(IF("Página Web"='03.Muestra'!$D$8:$D$42,ROW('03.Muestra'!$F$8:$F$42)-MIN(ROW('03.Muestra'!$D$8:$D$42))+1,""),ROW()-588)),"")</f>
        <v>http://www.madrid.org/presupuestos/index.php/presupuestos-generales/presupuestos-cm/2022</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5</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Menu 2</v>
      </c>
      <c r="C591" s="114" t="str" cm="1">
        <f t="array" ref="C591">IFERROR(INDEX('03.Muestra'!$F$8:$F$42,SMALL(IF("Página Web"='03.Muestra'!$D$8:$D$42,ROW('03.Muestra'!$F$8:$F$42)-MIN(ROW('03.Muestra'!$D$8:$D$42))+1,""),ROW()-588)),"")</f>
        <v>http://www.madrid.org/presupuestos/index.php/ejecucion-presupuestaria</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Menu 3</v>
      </c>
      <c r="C592" s="114" t="str" cm="1">
        <f t="array" ref="C592">IFERROR(INDEX('03.Muestra'!$F$8:$F$42,SMALL(IF("Página Web"='03.Muestra'!$D$8:$D$42,ROW('03.Muestra'!$F$8:$F$42)-MIN(ROW('03.Muestra'!$D$8:$D$42))+1,""),ROW()-588)),"")</f>
        <v>http://www.madrid.org/presupuestos/index.php/transparencia</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Accesibilidad</v>
      </c>
      <c r="C593" s="114" t="str" cm="1">
        <f t="array" ref="C593">IFERROR(INDEX('03.Muestra'!$F$8:$F$42,SMALL(IF("Página Web"='03.Muestra'!$D$8:$D$42,ROW('03.Muestra'!$F$8:$F$42)-MIN(ROW('03.Muestra'!$D$8:$D$42))+1,""),ROW()-588)),"")</f>
        <v>http://www.madrid.org/presupuestos/index.php/accesibilidad-web</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IFERROR(INDEX('03.Muestra'!$B$8:$B$42,SMALL(IF("Página Web"='03.Muestra'!$D$8:$D$42,ROW('03.Muestra'!$B$8:$B$42)-MIN(ROW('03.Muestra'!$D$8:$D$42))+1,""),ROW()-588)),"")</f>
        <v/>
      </c>
      <c r="B594" s="114" t="str" cm="1">
        <f t="array" ref="B594">IFERROR(INDEX('03.Muestra'!$C$8:$C$42,SMALL(IF("Página Web"='03.Muestra'!$D$8:$D$42,ROW('03.Muestra'!$C$8:$C$42)-MIN(ROW('03.Muestra'!$D$8:$D$42))+1,""),ROW()-588)),"")</f>
        <v/>
      </c>
      <c r="C594" s="114" t="str" cm="1">
        <f t="array" ref="C594">IFERROR(INDEX('03.Muestra'!$F$8:$F$42,SMALL(IF("Página Web"='03.Muestra'!$D$8:$D$42,ROW('03.Muestra'!$F$8:$F$42)-MIN(ROW('03.Muestra'!$D$8:$D$42))+1,""),ROW()-588)),"")</f>
        <v/>
      </c>
      <c r="D594" s="130" t="str">
        <f t="shared" ref="D594:D623" si="31">IF(AND(B594&lt;&gt;"",C594&lt;&gt;""),"N/T","")</f>
        <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IFERROR(INDEX('03.Muestra'!$B$8:$B$42,SMALL(IF("Página Web"='03.Muestra'!$D$8:$D$42,ROW('03.Muestra'!$B$8:$B$42)-MIN(ROW('03.Muestra'!$D$8:$D$42))+1,""),ROW()-588)),"")</f>
        <v/>
      </c>
      <c r="B595" s="114" t="str" cm="1">
        <f t="array" ref="B595">IFERROR(INDEX('03.Muestra'!$C$8:$C$42,SMALL(IF("Página Web"='03.Muestra'!$D$8:$D$42,ROW('03.Muestra'!$C$8:$C$42)-MIN(ROW('03.Muestra'!$D$8:$D$42))+1,""),ROW()-588)),"")</f>
        <v/>
      </c>
      <c r="C595" s="114" t="str" cm="1">
        <f t="array" ref="C595">IFERROR(INDEX('03.Muestra'!$F$8:$F$42,SMALL(IF("Página Web"='03.Muestra'!$D$8:$D$42,ROW('03.Muestra'!$F$8:$F$42)-MIN(ROW('03.Muestra'!$D$8:$D$42))+1,""),ROW()-588)),"")</f>
        <v/>
      </c>
      <c r="D595" s="130" t="str">
        <f t="shared" si="31"/>
        <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IFERROR(INDEX('03.Muestra'!$B$8:$B$42,SMALL(IF("Página Web"='03.Muestra'!$D$8:$D$42,ROW('03.Muestra'!$B$8:$B$42)-MIN(ROW('03.Muestra'!$D$8:$D$42))+1,""),ROW()-588)),"")</f>
        <v/>
      </c>
      <c r="B596" s="114" t="str" cm="1">
        <f t="array" ref="B596">IFERROR(INDEX('03.Muestra'!$C$8:$C$42,SMALL(IF("Página Web"='03.Muestra'!$D$8:$D$42,ROW('03.Muestra'!$C$8:$C$42)-MIN(ROW('03.Muestra'!$D$8:$D$42))+1,""),ROW()-588)),"")</f>
        <v/>
      </c>
      <c r="C596" s="114" t="str" cm="1">
        <f t="array" ref="C596">IFERROR(INDEX('03.Muestra'!$F$8:$F$42,SMALL(IF("Página Web"='03.Muestra'!$D$8:$D$42,ROW('03.Muestra'!$F$8:$F$42)-MIN(ROW('03.Muestra'!$D$8:$D$42))+1,""),ROW()-588)),"")</f>
        <v/>
      </c>
      <c r="D596" s="130" t="str">
        <f t="shared" si="31"/>
        <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IFERROR(INDEX('03.Muestra'!$B$8:$B$42,SMALL(IF("Página Web"='03.Muestra'!$D$8:$D$42,ROW('03.Muestra'!$B$8:$B$42)-MIN(ROW('03.Muestra'!$D$8:$D$42))+1,""),ROW()-588)),"")</f>
        <v/>
      </c>
      <c r="B597" s="114" t="str" cm="1">
        <f t="array" ref="B597">IFERROR(INDEX('03.Muestra'!$C$8:$C$42,SMALL(IF("Página Web"='03.Muestra'!$D$8:$D$42,ROW('03.Muestra'!$C$8:$C$42)-MIN(ROW('03.Muestra'!$D$8:$D$42))+1,""),ROW()-588)),"")</f>
        <v/>
      </c>
      <c r="C597" s="114" t="str" cm="1">
        <f t="array" ref="C597">IFERROR(INDEX('03.Muestra'!$F$8:$F$42,SMALL(IF("Página Web"='03.Muestra'!$D$8:$D$42,ROW('03.Muestra'!$F$8:$F$42)-MIN(ROW('03.Muestra'!$D$8:$D$42))+1,""),ROW()-588)),"")</f>
        <v/>
      </c>
      <c r="D597" s="130" t="str">
        <f t="shared" si="31"/>
        <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IFERROR(INDEX('03.Muestra'!$B$8:$B$42,SMALL(IF("Página Web"='03.Muestra'!$D$8:$D$42,ROW('03.Muestra'!$B$8:$B$42)-MIN(ROW('03.Muestra'!$D$8:$D$42))+1,""),ROW()-588)),"")</f>
        <v/>
      </c>
      <c r="B598" s="114" t="str" cm="1">
        <f t="array" ref="B598">IFERROR(INDEX('03.Muestra'!$C$8:$C$42,SMALL(IF("Página Web"='03.Muestra'!$D$8:$D$42,ROW('03.Muestra'!$C$8:$C$42)-MIN(ROW('03.Muestra'!$D$8:$D$42))+1,""),ROW()-588)),"")</f>
        <v/>
      </c>
      <c r="C598" s="114" t="str" cm="1">
        <f t="array" ref="C598">IFERROR(INDEX('03.Muestra'!$F$8:$F$42,SMALL(IF("Página Web"='03.Muestra'!$D$8:$D$42,ROW('03.Muestra'!$F$8:$F$42)-MIN(ROW('03.Muestra'!$D$8:$D$42))+1,""),ROW()-588)),"")</f>
        <v/>
      </c>
      <c r="D598" s="130" t="str">
        <f t="shared" si="31"/>
        <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IFERROR(INDEX('03.Muestra'!$B$8:$B$42,SMALL(IF("Página Web"='03.Muestra'!$D$8:$D$42,ROW('03.Muestra'!$B$8:$B$42)-MIN(ROW('03.Muestra'!$D$8:$D$42))+1,""),ROW()-588)),"")</f>
        <v/>
      </c>
      <c r="B599" s="114" t="str" cm="1">
        <f t="array" ref="B599">IFERROR(INDEX('03.Muestra'!$C$8:$C$42,SMALL(IF("Página Web"='03.Muestra'!$D$8:$D$42,ROW('03.Muestra'!$C$8:$C$42)-MIN(ROW('03.Muestra'!$D$8:$D$42))+1,""),ROW()-588)),"")</f>
        <v/>
      </c>
      <c r="C599" s="114" t="str" cm="1">
        <f t="array" ref="C599">IFERROR(INDEX('03.Muestra'!$F$8:$F$42,SMALL(IF("Página Web"='03.Muestra'!$D$8:$D$42,ROW('03.Muestra'!$F$8:$F$42)-MIN(ROW('03.Muestra'!$D$8:$D$42))+1,""),ROW()-588)),"")</f>
        <v/>
      </c>
      <c r="D599" s="130" t="str">
        <f t="shared" si="31"/>
        <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IFERROR(INDEX('03.Muestra'!$B$8:$B$42,SMALL(IF("Página Web"='03.Muestra'!$D$8:$D$42,ROW('03.Muestra'!$B$8:$B$42)-MIN(ROW('03.Muestra'!$D$8:$D$42))+1,""),ROW()-588)),"")</f>
        <v/>
      </c>
      <c r="B600" s="114" t="str" cm="1">
        <f t="array" ref="B600">IFERROR(INDEX('03.Muestra'!$C$8:$C$42,SMALL(IF("Página Web"='03.Muestra'!$D$8:$D$42,ROW('03.Muestra'!$C$8:$C$42)-MIN(ROW('03.Muestra'!$D$8:$D$42))+1,""),ROW()-588)),"")</f>
        <v/>
      </c>
      <c r="C600" s="114" t="str" cm="1">
        <f t="array" ref="C600">IFERROR(INDEX('03.Muestra'!$F$8:$F$42,SMALL(IF("Página Web"='03.Muestra'!$D$8:$D$42,ROW('03.Muestra'!$F$8:$F$42)-MIN(ROW('03.Muestra'!$D$8:$D$42))+1,""),ROW()-588)),"")</f>
        <v/>
      </c>
      <c r="D600" s="130" t="str">
        <f t="shared" si="31"/>
        <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5" customHeight="1">
      <c r="A601" s="219" t="str" cm="1">
        <f t="array" ref="A601">IFERROR(INDEX('03.Muestra'!$B$8:$B$42,SMALL(IF("Página Web"='03.Muestra'!$D$8:$D$42,ROW('03.Muestra'!$B$8:$B$42)-MIN(ROW('03.Muestra'!$D$8:$D$42))+1,""),ROW()-588)),"")</f>
        <v/>
      </c>
      <c r="B601" s="114" t="str" cm="1">
        <f t="array" ref="B601">IFERROR(INDEX('03.Muestra'!$C$8:$C$42,SMALL(IF("Página Web"='03.Muestra'!$D$8:$D$42,ROW('03.Muestra'!$C$8:$C$42)-MIN(ROW('03.Muestra'!$D$8:$D$42))+1,""),ROW()-588)),"")</f>
        <v/>
      </c>
      <c r="C601" s="114" t="str" cm="1">
        <f t="array" ref="C601">IFERROR(INDEX('03.Muestra'!$F$8:$F$42,SMALL(IF("Página Web"='03.Muestra'!$D$8:$D$42,ROW('03.Muestra'!$F$8:$F$42)-MIN(ROW('03.Muestra'!$D$8:$D$42))+1,""),ROW()-588)),"")</f>
        <v/>
      </c>
      <c r="D601" s="130" t="str">
        <f t="shared" si="31"/>
        <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5" customHeight="1">
      <c r="A602" s="219" t="str" cm="1">
        <f t="array" ref="A602">IFERROR(INDEX('03.Muestra'!$B$8:$B$42,SMALL(IF("Página Web"='03.Muestra'!$D$8:$D$42,ROW('03.Muestra'!$B$8:$B$42)-MIN(ROW('03.Muestra'!$D$8:$D$42))+1,""),ROW()-588)),"")</f>
        <v/>
      </c>
      <c r="B602" s="114" t="str" cm="1">
        <f t="array" ref="B602">IFERROR(INDEX('03.Muestra'!$C$8:$C$42,SMALL(IF("Página Web"='03.Muestra'!$D$8:$D$42,ROW('03.Muestra'!$C$8:$C$42)-MIN(ROW('03.Muestra'!$D$8:$D$42))+1,""),ROW()-588)),"")</f>
        <v/>
      </c>
      <c r="C602" s="114" t="str" cm="1">
        <f t="array" ref="C602">IFERROR(INDEX('03.Muestra'!$F$8:$F$42,SMALL(IF("Página Web"='03.Muestra'!$D$8:$D$42,ROW('03.Muestra'!$F$8:$F$42)-MIN(ROW('03.Muestra'!$D$8:$D$42))+1,""),ROW()-588)),"")</f>
        <v/>
      </c>
      <c r="D602" s="130" t="str">
        <f t="shared" si="31"/>
        <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5" customHeight="1">
      <c r="A603" s="219" t="str" cm="1">
        <f t="array" ref="A603">IFERROR(INDEX('03.Muestra'!$B$8:$B$42,SMALL(IF("Página Web"='03.Muestra'!$D$8:$D$42,ROW('03.Muestra'!$B$8:$B$42)-MIN(ROW('03.Muestra'!$D$8:$D$42))+1,""),ROW()-588)),"")</f>
        <v/>
      </c>
      <c r="B603" s="114" t="str" cm="1">
        <f t="array" ref="B603">IFERROR(INDEX('03.Muestra'!$C$8:$C$42,SMALL(IF("Página Web"='03.Muestra'!$D$8:$D$42,ROW('03.Muestra'!$C$8:$C$42)-MIN(ROW('03.Muestra'!$D$8:$D$42))+1,""),ROW()-588)),"")</f>
        <v/>
      </c>
      <c r="C603" s="114" t="str" cm="1">
        <f t="array" ref="C603">IFERROR(INDEX('03.Muestra'!$F$8:$F$42,SMALL(IF("Página Web"='03.Muestra'!$D$8:$D$42,ROW('03.Muestra'!$F$8:$F$42)-MIN(ROW('03.Muestra'!$D$8:$D$42))+1,""),ROW()-588)),"")</f>
        <v/>
      </c>
      <c r="D603" s="130" t="str">
        <f t="shared" si="31"/>
        <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5"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si="31"/>
        <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http://www.madrid.org/presupuestos</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Menu 1</v>
      </c>
      <c r="C628" s="114" t="str" cm="1">
        <f t="array" ref="C628">IFERROR(INDEX('03.Muestra'!$F$8:$F$42,SMALL(IF("Página Web"='03.Muestra'!$D$8:$D$42,ROW('03.Muestra'!$F$8:$F$42)-MIN(ROW('03.Muestra'!$D$8:$D$42))+1,""),ROW()-626)),"")</f>
        <v>http://www.madrid.org/presupuestos/index.php/presupuestos-generales/presupuestos-cm/2022</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5</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Menu 2</v>
      </c>
      <c r="C629" s="114" t="str" cm="1">
        <f t="array" ref="C629">IFERROR(INDEX('03.Muestra'!$F$8:$F$42,SMALL(IF("Página Web"='03.Muestra'!$D$8:$D$42,ROW('03.Muestra'!$F$8:$F$42)-MIN(ROW('03.Muestra'!$D$8:$D$42))+1,""),ROW()-626)),"")</f>
        <v>http://www.madrid.org/presupuestos/index.php/ejecucion-presupuestaria</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Menu 3</v>
      </c>
      <c r="C630" s="114" t="str" cm="1">
        <f t="array" ref="C630">IFERROR(INDEX('03.Muestra'!$F$8:$F$42,SMALL(IF("Página Web"='03.Muestra'!$D$8:$D$42,ROW('03.Muestra'!$F$8:$F$42)-MIN(ROW('03.Muestra'!$D$8:$D$42))+1,""),ROW()-626)),"")</f>
        <v>http://www.madrid.org/presupuestos/index.php/transparencia</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Accesibilidad</v>
      </c>
      <c r="C631" s="114" t="str" cm="1">
        <f t="array" ref="C631">IFERROR(INDEX('03.Muestra'!$F$8:$F$42,SMALL(IF("Página Web"='03.Muestra'!$D$8:$D$42,ROW('03.Muestra'!$F$8:$F$42)-MIN(ROW('03.Muestra'!$D$8:$D$42))+1,""),ROW()-626)),"")</f>
        <v>http://www.madrid.org/presupuestos/index.php/accesibilidad-web</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t="str" cm="1">
        <f t="array" ref="A632">IFERROR(INDEX('03.Muestra'!$B$8:$B$42,SMALL(IF("Página Web"='03.Muestra'!$D$8:$D$42,ROW('03.Muestra'!$B$8:$B$42)-MIN(ROW('03.Muestra'!$D$8:$D$42))+1,""),ROW()-626)),"")</f>
        <v/>
      </c>
      <c r="B632" s="114" t="str" cm="1">
        <f t="array" ref="B632">IFERROR(INDEX('03.Muestra'!$C$8:$C$42,SMALL(IF("Página Web"='03.Muestra'!$D$8:$D$42,ROW('03.Muestra'!$C$8:$C$42)-MIN(ROW('03.Muestra'!$D$8:$D$42))+1,""),ROW()-626)),"")</f>
        <v/>
      </c>
      <c r="C632" s="114" t="str" cm="1">
        <f t="array" ref="C632">IFERROR(INDEX('03.Muestra'!$F$8:$F$42,SMALL(IF("Página Web"='03.Muestra'!$D$8:$D$42,ROW('03.Muestra'!$F$8:$F$42)-MIN(ROW('03.Muestra'!$D$8:$D$42))+1,""),ROW()-626)),"")</f>
        <v/>
      </c>
      <c r="D632" s="130" t="str">
        <f t="shared" ref="D632:D661" si="33">IF(AND(B632&lt;&gt;"",C632&lt;&gt;""),"N/T","")</f>
        <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t="str" cm="1">
        <f t="array" ref="A633">IFERROR(INDEX('03.Muestra'!$B$8:$B$42,SMALL(IF("Página Web"='03.Muestra'!$D$8:$D$42,ROW('03.Muestra'!$B$8:$B$42)-MIN(ROW('03.Muestra'!$D$8:$D$42))+1,""),ROW()-626)),"")</f>
        <v/>
      </c>
      <c r="B633" s="114" t="str" cm="1">
        <f t="array" ref="B633">IFERROR(INDEX('03.Muestra'!$C$8:$C$42,SMALL(IF("Página Web"='03.Muestra'!$D$8:$D$42,ROW('03.Muestra'!$C$8:$C$42)-MIN(ROW('03.Muestra'!$D$8:$D$42))+1,""),ROW()-626)),"")</f>
        <v/>
      </c>
      <c r="C633" s="114" t="str" cm="1">
        <f t="array" ref="C633">IFERROR(INDEX('03.Muestra'!$F$8:$F$42,SMALL(IF("Página Web"='03.Muestra'!$D$8:$D$42,ROW('03.Muestra'!$F$8:$F$42)-MIN(ROW('03.Muestra'!$D$8:$D$42))+1,""),ROW()-626)),"")</f>
        <v/>
      </c>
      <c r="D633" s="130" t="str">
        <f t="shared" si="33"/>
        <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t="str" cm="1">
        <f t="array" ref="A634">IFERROR(INDEX('03.Muestra'!$B$8:$B$42,SMALL(IF("Página Web"='03.Muestra'!$D$8:$D$42,ROW('03.Muestra'!$B$8:$B$42)-MIN(ROW('03.Muestra'!$D$8:$D$42))+1,""),ROW()-626)),"")</f>
        <v/>
      </c>
      <c r="B634" s="114" t="str" cm="1">
        <f t="array" ref="B634">IFERROR(INDEX('03.Muestra'!$C$8:$C$42,SMALL(IF("Página Web"='03.Muestra'!$D$8:$D$42,ROW('03.Muestra'!$C$8:$C$42)-MIN(ROW('03.Muestra'!$D$8:$D$42))+1,""),ROW()-626)),"")</f>
        <v/>
      </c>
      <c r="C634" s="114" t="str" cm="1">
        <f t="array" ref="C634">IFERROR(INDEX('03.Muestra'!$F$8:$F$42,SMALL(IF("Página Web"='03.Muestra'!$D$8:$D$42,ROW('03.Muestra'!$F$8:$F$42)-MIN(ROW('03.Muestra'!$D$8:$D$42))+1,""),ROW()-626)),"")</f>
        <v/>
      </c>
      <c r="D634" s="130" t="str">
        <f t="shared" si="33"/>
        <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t="str" cm="1">
        <f t="array" ref="A635">IFERROR(INDEX('03.Muestra'!$B$8:$B$42,SMALL(IF("Página Web"='03.Muestra'!$D$8:$D$42,ROW('03.Muestra'!$B$8:$B$42)-MIN(ROW('03.Muestra'!$D$8:$D$42))+1,""),ROW()-626)),"")</f>
        <v/>
      </c>
      <c r="B635" s="114" t="str" cm="1">
        <f t="array" ref="B635">IFERROR(INDEX('03.Muestra'!$C$8:$C$42,SMALL(IF("Página Web"='03.Muestra'!$D$8:$D$42,ROW('03.Muestra'!$C$8:$C$42)-MIN(ROW('03.Muestra'!$D$8:$D$42))+1,""),ROW()-626)),"")</f>
        <v/>
      </c>
      <c r="C635" s="114" t="str" cm="1">
        <f t="array" ref="C635">IFERROR(INDEX('03.Muestra'!$F$8:$F$42,SMALL(IF("Página Web"='03.Muestra'!$D$8:$D$42,ROW('03.Muestra'!$F$8:$F$42)-MIN(ROW('03.Muestra'!$D$8:$D$42))+1,""),ROW()-626)),"")</f>
        <v/>
      </c>
      <c r="D635" s="130" t="str">
        <f t="shared" si="33"/>
        <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t="str" cm="1">
        <f t="array" ref="A636">IFERROR(INDEX('03.Muestra'!$B$8:$B$42,SMALL(IF("Página Web"='03.Muestra'!$D$8:$D$42,ROW('03.Muestra'!$B$8:$B$42)-MIN(ROW('03.Muestra'!$D$8:$D$42))+1,""),ROW()-626)),"")</f>
        <v/>
      </c>
      <c r="B636" s="114" t="str" cm="1">
        <f t="array" ref="B636">IFERROR(INDEX('03.Muestra'!$C$8:$C$42,SMALL(IF("Página Web"='03.Muestra'!$D$8:$D$42,ROW('03.Muestra'!$C$8:$C$42)-MIN(ROW('03.Muestra'!$D$8:$D$42))+1,""),ROW()-626)),"")</f>
        <v/>
      </c>
      <c r="C636" s="114" t="str" cm="1">
        <f t="array" ref="C636">IFERROR(INDEX('03.Muestra'!$F$8:$F$42,SMALL(IF("Página Web"='03.Muestra'!$D$8:$D$42,ROW('03.Muestra'!$F$8:$F$42)-MIN(ROW('03.Muestra'!$D$8:$D$42))+1,""),ROW()-626)),"")</f>
        <v/>
      </c>
      <c r="D636" s="130" t="str">
        <f t="shared" si="33"/>
        <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t="str" cm="1">
        <f t="array" ref="A637">IFERROR(INDEX('03.Muestra'!$B$8:$B$42,SMALL(IF("Página Web"='03.Muestra'!$D$8:$D$42,ROW('03.Muestra'!$B$8:$B$42)-MIN(ROW('03.Muestra'!$D$8:$D$42))+1,""),ROW()-626)),"")</f>
        <v/>
      </c>
      <c r="B637" s="114" t="str" cm="1">
        <f t="array" ref="B637">IFERROR(INDEX('03.Muestra'!$C$8:$C$42,SMALL(IF("Página Web"='03.Muestra'!$D$8:$D$42,ROW('03.Muestra'!$C$8:$C$42)-MIN(ROW('03.Muestra'!$D$8:$D$42))+1,""),ROW()-626)),"")</f>
        <v/>
      </c>
      <c r="C637" s="114" t="str" cm="1">
        <f t="array" ref="C637">IFERROR(INDEX('03.Muestra'!$F$8:$F$42,SMALL(IF("Página Web"='03.Muestra'!$D$8:$D$42,ROW('03.Muestra'!$F$8:$F$42)-MIN(ROW('03.Muestra'!$D$8:$D$42))+1,""),ROW()-626)),"")</f>
        <v/>
      </c>
      <c r="D637" s="130" t="str">
        <f t="shared" si="33"/>
        <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t="str" cm="1">
        <f t="array" ref="A638">IFERROR(INDEX('03.Muestra'!$B$8:$B$42,SMALL(IF("Página Web"='03.Muestra'!$D$8:$D$42,ROW('03.Muestra'!$B$8:$B$42)-MIN(ROW('03.Muestra'!$D$8:$D$42))+1,""),ROW()-626)),"")</f>
        <v/>
      </c>
      <c r="B638" s="114" t="str" cm="1">
        <f t="array" ref="B638">IFERROR(INDEX('03.Muestra'!$C$8:$C$42,SMALL(IF("Página Web"='03.Muestra'!$D$8:$D$42,ROW('03.Muestra'!$C$8:$C$42)-MIN(ROW('03.Muestra'!$D$8:$D$42))+1,""),ROW()-626)),"")</f>
        <v/>
      </c>
      <c r="C638" s="114" t="str" cm="1">
        <f t="array" ref="C638">IFERROR(INDEX('03.Muestra'!$F$8:$F$42,SMALL(IF("Página Web"='03.Muestra'!$D$8:$D$42,ROW('03.Muestra'!$F$8:$F$42)-MIN(ROW('03.Muestra'!$D$8:$D$42))+1,""),ROW()-626)),"")</f>
        <v/>
      </c>
      <c r="D638" s="130" t="str">
        <f t="shared" si="33"/>
        <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5" customHeight="1">
      <c r="A639" s="219" t="str" cm="1">
        <f t="array" ref="A639">IFERROR(INDEX('03.Muestra'!$B$8:$B$42,SMALL(IF("Página Web"='03.Muestra'!$D$8:$D$42,ROW('03.Muestra'!$B$8:$B$42)-MIN(ROW('03.Muestra'!$D$8:$D$42))+1,""),ROW()-626)),"")</f>
        <v/>
      </c>
      <c r="B639" s="114" t="str" cm="1">
        <f t="array" ref="B639">IFERROR(INDEX('03.Muestra'!$C$8:$C$42,SMALL(IF("Página Web"='03.Muestra'!$D$8:$D$42,ROW('03.Muestra'!$C$8:$C$42)-MIN(ROW('03.Muestra'!$D$8:$D$42))+1,""),ROW()-626)),"")</f>
        <v/>
      </c>
      <c r="C639" s="114" t="str" cm="1">
        <f t="array" ref="C639">IFERROR(INDEX('03.Muestra'!$F$8:$F$42,SMALL(IF("Página Web"='03.Muestra'!$D$8:$D$42,ROW('03.Muestra'!$F$8:$F$42)-MIN(ROW('03.Muestra'!$D$8:$D$42))+1,""),ROW()-626)),"")</f>
        <v/>
      </c>
      <c r="D639" s="130" t="str">
        <f t="shared" si="33"/>
        <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5" customHeight="1">
      <c r="A640" s="219" t="str" cm="1">
        <f t="array" ref="A640">IFERROR(INDEX('03.Muestra'!$B$8:$B$42,SMALL(IF("Página Web"='03.Muestra'!$D$8:$D$42,ROW('03.Muestra'!$B$8:$B$42)-MIN(ROW('03.Muestra'!$D$8:$D$42))+1,""),ROW()-626)),"")</f>
        <v/>
      </c>
      <c r="B640" s="114" t="str" cm="1">
        <f t="array" ref="B640">IFERROR(INDEX('03.Muestra'!$C$8:$C$42,SMALL(IF("Página Web"='03.Muestra'!$D$8:$D$42,ROW('03.Muestra'!$C$8:$C$42)-MIN(ROW('03.Muestra'!$D$8:$D$42))+1,""),ROW()-626)),"")</f>
        <v/>
      </c>
      <c r="C640" s="114" t="str" cm="1">
        <f t="array" ref="C640">IFERROR(INDEX('03.Muestra'!$F$8:$F$42,SMALL(IF("Página Web"='03.Muestra'!$D$8:$D$42,ROW('03.Muestra'!$F$8:$F$42)-MIN(ROW('03.Muestra'!$D$8:$D$42))+1,""),ROW()-626)),"")</f>
        <v/>
      </c>
      <c r="D640" s="130" t="str">
        <f t="shared" si="33"/>
        <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5" customHeight="1">
      <c r="A641" s="219" t="str" cm="1">
        <f t="array" ref="A641">IFERROR(INDEX('03.Muestra'!$B$8:$B$42,SMALL(IF("Página Web"='03.Muestra'!$D$8:$D$42,ROW('03.Muestra'!$B$8:$B$42)-MIN(ROW('03.Muestra'!$D$8:$D$42))+1,""),ROW()-626)),"")</f>
        <v/>
      </c>
      <c r="B641" s="114" t="str" cm="1">
        <f t="array" ref="B641">IFERROR(INDEX('03.Muestra'!$C$8:$C$42,SMALL(IF("Página Web"='03.Muestra'!$D$8:$D$42,ROW('03.Muestra'!$C$8:$C$42)-MIN(ROW('03.Muestra'!$D$8:$D$42))+1,""),ROW()-626)),"")</f>
        <v/>
      </c>
      <c r="C641" s="114" t="str" cm="1">
        <f t="array" ref="C641">IFERROR(INDEX('03.Muestra'!$F$8:$F$42,SMALL(IF("Página Web"='03.Muestra'!$D$8:$D$42,ROW('03.Muestra'!$F$8:$F$42)-MIN(ROW('03.Muestra'!$D$8:$D$42))+1,""),ROW()-626)),"")</f>
        <v/>
      </c>
      <c r="D641" s="130" t="str">
        <f t="shared" si="33"/>
        <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5"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si="33"/>
        <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http://www.madrid.org/presupuestos</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Menu 1</v>
      </c>
      <c r="C666" s="114" t="str" cm="1">
        <f t="array" ref="C666">IFERROR(INDEX('03.Muestra'!$F$8:$F$42,SMALL(IF("Página Web"='03.Muestra'!$D$8:$D$42,ROW('03.Muestra'!$F$8:$F$42)-MIN(ROW('03.Muestra'!$D$8:$D$42))+1,""),ROW()-664)),"")</f>
        <v>http://www.madrid.org/presupuestos/index.php/presupuestos-generales/presupuestos-cm/2022</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5</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Menu 2</v>
      </c>
      <c r="C667" s="114" t="str" cm="1">
        <f t="array" ref="C667">IFERROR(INDEX('03.Muestra'!$F$8:$F$42,SMALL(IF("Página Web"='03.Muestra'!$D$8:$D$42,ROW('03.Muestra'!$F$8:$F$42)-MIN(ROW('03.Muestra'!$D$8:$D$42))+1,""),ROW()-664)),"")</f>
        <v>http://www.madrid.org/presupuestos/index.php/ejecucion-presupuestaria</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Menu 3</v>
      </c>
      <c r="C668" s="114" t="str" cm="1">
        <f t="array" ref="C668">IFERROR(INDEX('03.Muestra'!$F$8:$F$42,SMALL(IF("Página Web"='03.Muestra'!$D$8:$D$42,ROW('03.Muestra'!$F$8:$F$42)-MIN(ROW('03.Muestra'!$D$8:$D$42))+1,""),ROW()-664)),"")</f>
        <v>http://www.madrid.org/presupuestos/index.php/transparencia</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Accesibilidad</v>
      </c>
      <c r="C669" s="114" t="str" cm="1">
        <f t="array" ref="C669">IFERROR(INDEX('03.Muestra'!$F$8:$F$42,SMALL(IF("Página Web"='03.Muestra'!$D$8:$D$42,ROW('03.Muestra'!$F$8:$F$42)-MIN(ROW('03.Muestra'!$D$8:$D$42))+1,""),ROW()-664)),"")</f>
        <v>http://www.madrid.org/presupuestos/index.php/accesibilidad-web</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t="str" cm="1">
        <f t="array" ref="A670">IFERROR(INDEX('03.Muestra'!$B$8:$B$42,SMALL(IF("Página Web"='03.Muestra'!$D$8:$D$42,ROW('03.Muestra'!$B$8:$B$42)-MIN(ROW('03.Muestra'!$D$8:$D$42))+1,""),ROW()-664)),"")</f>
        <v/>
      </c>
      <c r="B670" s="114" t="str" cm="1">
        <f t="array" ref="B670">IFERROR(INDEX('03.Muestra'!$C$8:$C$42,SMALL(IF("Página Web"='03.Muestra'!$D$8:$D$42,ROW('03.Muestra'!$C$8:$C$42)-MIN(ROW('03.Muestra'!$D$8:$D$42))+1,""),ROW()-664)),"")</f>
        <v/>
      </c>
      <c r="C670" s="114" t="str" cm="1">
        <f t="array" ref="C670">IFERROR(INDEX('03.Muestra'!$F$8:$F$42,SMALL(IF("Página Web"='03.Muestra'!$D$8:$D$42,ROW('03.Muestra'!$F$8:$F$42)-MIN(ROW('03.Muestra'!$D$8:$D$42))+1,""),ROW()-664)),"")</f>
        <v/>
      </c>
      <c r="D670" s="130"/>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t="str" cm="1">
        <f t="array" ref="A671">IFERROR(INDEX('03.Muestra'!$B$8:$B$42,SMALL(IF("Página Web"='03.Muestra'!$D$8:$D$42,ROW('03.Muestra'!$B$8:$B$42)-MIN(ROW('03.Muestra'!$D$8:$D$42))+1,""),ROW()-664)),"")</f>
        <v/>
      </c>
      <c r="B671" s="114" t="str" cm="1">
        <f t="array" ref="B671">IFERROR(INDEX('03.Muestra'!$C$8:$C$42,SMALL(IF("Página Web"='03.Muestra'!$D$8:$D$42,ROW('03.Muestra'!$C$8:$C$42)-MIN(ROW('03.Muestra'!$D$8:$D$42))+1,""),ROW()-664)),"")</f>
        <v/>
      </c>
      <c r="C671" s="114" t="str" cm="1">
        <f t="array" ref="C671">IFERROR(INDEX('03.Muestra'!$F$8:$F$42,SMALL(IF("Página Web"='03.Muestra'!$D$8:$D$42,ROW('03.Muestra'!$F$8:$F$42)-MIN(ROW('03.Muestra'!$D$8:$D$42))+1,""),ROW()-664)),"")</f>
        <v/>
      </c>
      <c r="D671" s="130" t="str">
        <f t="shared" ref="D671:D699" si="35">IF(AND(B671&lt;&gt;"",C671&lt;&gt;""),"N/T","")</f>
        <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t="str" cm="1">
        <f t="array" ref="A672">IFERROR(INDEX('03.Muestra'!$B$8:$B$42,SMALL(IF("Página Web"='03.Muestra'!$D$8:$D$42,ROW('03.Muestra'!$B$8:$B$42)-MIN(ROW('03.Muestra'!$D$8:$D$42))+1,""),ROW()-664)),"")</f>
        <v/>
      </c>
      <c r="B672" s="114" t="str" cm="1">
        <f t="array" ref="B672">IFERROR(INDEX('03.Muestra'!$C$8:$C$42,SMALL(IF("Página Web"='03.Muestra'!$D$8:$D$42,ROW('03.Muestra'!$C$8:$C$42)-MIN(ROW('03.Muestra'!$D$8:$D$42))+1,""),ROW()-664)),"")</f>
        <v/>
      </c>
      <c r="C672" s="114" t="str" cm="1">
        <f t="array" ref="C672">IFERROR(INDEX('03.Muestra'!$F$8:$F$42,SMALL(IF("Página Web"='03.Muestra'!$D$8:$D$42,ROW('03.Muestra'!$F$8:$F$42)-MIN(ROW('03.Muestra'!$D$8:$D$42))+1,""),ROW()-664)),"")</f>
        <v/>
      </c>
      <c r="D672" s="130" t="str">
        <f t="shared" si="35"/>
        <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t="str" cm="1">
        <f t="array" ref="A673">IFERROR(INDEX('03.Muestra'!$B$8:$B$42,SMALL(IF("Página Web"='03.Muestra'!$D$8:$D$42,ROW('03.Muestra'!$B$8:$B$42)-MIN(ROW('03.Muestra'!$D$8:$D$42))+1,""),ROW()-664)),"")</f>
        <v/>
      </c>
      <c r="B673" s="114" t="str" cm="1">
        <f t="array" ref="B673">IFERROR(INDEX('03.Muestra'!$C$8:$C$42,SMALL(IF("Página Web"='03.Muestra'!$D$8:$D$42,ROW('03.Muestra'!$C$8:$C$42)-MIN(ROW('03.Muestra'!$D$8:$D$42))+1,""),ROW()-664)),"")</f>
        <v/>
      </c>
      <c r="C673" s="114" t="str" cm="1">
        <f t="array" ref="C673">IFERROR(INDEX('03.Muestra'!$F$8:$F$42,SMALL(IF("Página Web"='03.Muestra'!$D$8:$D$42,ROW('03.Muestra'!$F$8:$F$42)-MIN(ROW('03.Muestra'!$D$8:$D$42))+1,""),ROW()-664)),"")</f>
        <v/>
      </c>
      <c r="D673" s="130" t="str">
        <f t="shared" si="35"/>
        <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t="str" cm="1">
        <f t="array" ref="A674">IFERROR(INDEX('03.Muestra'!$B$8:$B$42,SMALL(IF("Página Web"='03.Muestra'!$D$8:$D$42,ROW('03.Muestra'!$B$8:$B$42)-MIN(ROW('03.Muestra'!$D$8:$D$42))+1,""),ROW()-664)),"")</f>
        <v/>
      </c>
      <c r="B674" s="114" t="str" cm="1">
        <f t="array" ref="B674">IFERROR(INDEX('03.Muestra'!$C$8:$C$42,SMALL(IF("Página Web"='03.Muestra'!$D$8:$D$42,ROW('03.Muestra'!$C$8:$C$42)-MIN(ROW('03.Muestra'!$D$8:$D$42))+1,""),ROW()-664)),"")</f>
        <v/>
      </c>
      <c r="C674" s="114" t="str" cm="1">
        <f t="array" ref="C674">IFERROR(INDEX('03.Muestra'!$F$8:$F$42,SMALL(IF("Página Web"='03.Muestra'!$D$8:$D$42,ROW('03.Muestra'!$F$8:$F$42)-MIN(ROW('03.Muestra'!$D$8:$D$42))+1,""),ROW()-664)),"")</f>
        <v/>
      </c>
      <c r="D674" s="130" t="str">
        <f t="shared" si="35"/>
        <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t="str" cm="1">
        <f t="array" ref="A675">IFERROR(INDEX('03.Muestra'!$B$8:$B$42,SMALL(IF("Página Web"='03.Muestra'!$D$8:$D$42,ROW('03.Muestra'!$B$8:$B$42)-MIN(ROW('03.Muestra'!$D$8:$D$42))+1,""),ROW()-664)),"")</f>
        <v/>
      </c>
      <c r="B675" s="114" t="str" cm="1">
        <f t="array" ref="B675">IFERROR(INDEX('03.Muestra'!$C$8:$C$42,SMALL(IF("Página Web"='03.Muestra'!$D$8:$D$42,ROW('03.Muestra'!$C$8:$C$42)-MIN(ROW('03.Muestra'!$D$8:$D$42))+1,""),ROW()-664)),"")</f>
        <v/>
      </c>
      <c r="C675" s="114" t="str" cm="1">
        <f t="array" ref="C675">IFERROR(INDEX('03.Muestra'!$F$8:$F$42,SMALL(IF("Página Web"='03.Muestra'!$D$8:$D$42,ROW('03.Muestra'!$F$8:$F$42)-MIN(ROW('03.Muestra'!$D$8:$D$42))+1,""),ROW()-664)),"")</f>
        <v/>
      </c>
      <c r="D675" s="130" t="str">
        <f t="shared" si="35"/>
        <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t="str" cm="1">
        <f t="array" ref="A676">IFERROR(INDEX('03.Muestra'!$B$8:$B$42,SMALL(IF("Página Web"='03.Muestra'!$D$8:$D$42,ROW('03.Muestra'!$B$8:$B$42)-MIN(ROW('03.Muestra'!$D$8:$D$42))+1,""),ROW()-664)),"")</f>
        <v/>
      </c>
      <c r="B676" s="114" t="str" cm="1">
        <f t="array" ref="B676">IFERROR(INDEX('03.Muestra'!$C$8:$C$42,SMALL(IF("Página Web"='03.Muestra'!$D$8:$D$42,ROW('03.Muestra'!$C$8:$C$42)-MIN(ROW('03.Muestra'!$D$8:$D$42))+1,""),ROW()-664)),"")</f>
        <v/>
      </c>
      <c r="C676" s="114" t="str" cm="1">
        <f t="array" ref="C676">IFERROR(INDEX('03.Muestra'!$F$8:$F$42,SMALL(IF("Página Web"='03.Muestra'!$D$8:$D$42,ROW('03.Muestra'!$F$8:$F$42)-MIN(ROW('03.Muestra'!$D$8:$D$42))+1,""),ROW()-664)),"")</f>
        <v/>
      </c>
      <c r="D676" s="130" t="str">
        <f t="shared" si="35"/>
        <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5" customHeight="1">
      <c r="A677" s="219" t="str" cm="1">
        <f t="array" ref="A677">IFERROR(INDEX('03.Muestra'!$B$8:$B$42,SMALL(IF("Página Web"='03.Muestra'!$D$8:$D$42,ROW('03.Muestra'!$B$8:$B$42)-MIN(ROW('03.Muestra'!$D$8:$D$42))+1,""),ROW()-664)),"")</f>
        <v/>
      </c>
      <c r="B677" s="114" t="str" cm="1">
        <f t="array" ref="B677">IFERROR(INDEX('03.Muestra'!$C$8:$C$42,SMALL(IF("Página Web"='03.Muestra'!$D$8:$D$42,ROW('03.Muestra'!$C$8:$C$42)-MIN(ROW('03.Muestra'!$D$8:$D$42))+1,""),ROW()-664)),"")</f>
        <v/>
      </c>
      <c r="C677" s="114" t="str" cm="1">
        <f t="array" ref="C677">IFERROR(INDEX('03.Muestra'!$F$8:$F$42,SMALL(IF("Página Web"='03.Muestra'!$D$8:$D$42,ROW('03.Muestra'!$F$8:$F$42)-MIN(ROW('03.Muestra'!$D$8:$D$42))+1,""),ROW()-664)),"")</f>
        <v/>
      </c>
      <c r="D677" s="130" t="str">
        <f t="shared" si="35"/>
        <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5" customHeight="1">
      <c r="A678" s="219" t="str" cm="1">
        <f t="array" ref="A678">IFERROR(INDEX('03.Muestra'!$B$8:$B$42,SMALL(IF("Página Web"='03.Muestra'!$D$8:$D$42,ROW('03.Muestra'!$B$8:$B$42)-MIN(ROW('03.Muestra'!$D$8:$D$42))+1,""),ROW()-664)),"")</f>
        <v/>
      </c>
      <c r="B678" s="114" t="str" cm="1">
        <f t="array" ref="B678">IFERROR(INDEX('03.Muestra'!$C$8:$C$42,SMALL(IF("Página Web"='03.Muestra'!$D$8:$D$42,ROW('03.Muestra'!$C$8:$C$42)-MIN(ROW('03.Muestra'!$D$8:$D$42))+1,""),ROW()-664)),"")</f>
        <v/>
      </c>
      <c r="C678" s="114" t="str" cm="1">
        <f t="array" ref="C678">IFERROR(INDEX('03.Muestra'!$F$8:$F$42,SMALL(IF("Página Web"='03.Muestra'!$D$8:$D$42,ROW('03.Muestra'!$F$8:$F$42)-MIN(ROW('03.Muestra'!$D$8:$D$42))+1,""),ROW()-664)),"")</f>
        <v/>
      </c>
      <c r="D678" s="130" t="str">
        <f t="shared" si="35"/>
        <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5" customHeight="1">
      <c r="A679" s="219" t="str" cm="1">
        <f t="array" ref="A679">IFERROR(INDEX('03.Muestra'!$B$8:$B$42,SMALL(IF("Página Web"='03.Muestra'!$D$8:$D$42,ROW('03.Muestra'!$B$8:$B$42)-MIN(ROW('03.Muestra'!$D$8:$D$42))+1,""),ROW()-664)),"")</f>
        <v/>
      </c>
      <c r="B679" s="114" t="str" cm="1">
        <f t="array" ref="B679">IFERROR(INDEX('03.Muestra'!$C$8:$C$42,SMALL(IF("Página Web"='03.Muestra'!$D$8:$D$42,ROW('03.Muestra'!$C$8:$C$42)-MIN(ROW('03.Muestra'!$D$8:$D$42))+1,""),ROW()-664)),"")</f>
        <v/>
      </c>
      <c r="C679" s="114" t="str" cm="1">
        <f t="array" ref="C679">IFERROR(INDEX('03.Muestra'!$F$8:$F$42,SMALL(IF("Página Web"='03.Muestra'!$D$8:$D$42,ROW('03.Muestra'!$F$8:$F$42)-MIN(ROW('03.Muestra'!$D$8:$D$42))+1,""),ROW()-664)),"")</f>
        <v/>
      </c>
      <c r="D679" s="130" t="str">
        <f t="shared" si="35"/>
        <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5"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si="35"/>
        <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http://www.madrid.org/presupuestos</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Menu 1</v>
      </c>
      <c r="C704" s="114" t="str" cm="1">
        <f t="array" ref="C704">IFERROR(INDEX('03.Muestra'!$F$8:$F$42,SMALL(IF("Página Web"='03.Muestra'!$D$8:$D$42,ROW('03.Muestra'!$F$8:$F$42)-MIN(ROW('03.Muestra'!$D$8:$D$42))+1,""),ROW()-702)),"")</f>
        <v>http://www.madrid.org/presupuestos/index.php/presupuestos-generales/presupuestos-cm/2022</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5</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Menu 2</v>
      </c>
      <c r="C705" s="114" t="str" cm="1">
        <f t="array" ref="C705">IFERROR(INDEX('03.Muestra'!$F$8:$F$42,SMALL(IF("Página Web"='03.Muestra'!$D$8:$D$42,ROW('03.Muestra'!$F$8:$F$42)-MIN(ROW('03.Muestra'!$D$8:$D$42))+1,""),ROW()-702)),"")</f>
        <v>http://www.madrid.org/presupuestos/index.php/ejecucion-presupuestaria</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Menu 3</v>
      </c>
      <c r="C706" s="114" t="str" cm="1">
        <f t="array" ref="C706">IFERROR(INDEX('03.Muestra'!$F$8:$F$42,SMALL(IF("Página Web"='03.Muestra'!$D$8:$D$42,ROW('03.Muestra'!$F$8:$F$42)-MIN(ROW('03.Muestra'!$D$8:$D$42))+1,""),ROW()-702)),"")</f>
        <v>http://www.madrid.org/presupuestos/index.php/transparencia</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Accesibilidad</v>
      </c>
      <c r="C707" s="114" t="str" cm="1">
        <f t="array" ref="C707">IFERROR(INDEX('03.Muestra'!$F$8:$F$42,SMALL(IF("Página Web"='03.Muestra'!$D$8:$D$42,ROW('03.Muestra'!$F$8:$F$42)-MIN(ROW('03.Muestra'!$D$8:$D$42))+1,""),ROW()-702)),"")</f>
        <v>http://www.madrid.org/presupuestos/index.php/accesibilidad-web</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t="str" cm="1">
        <f t="array" ref="A708">IFERROR(INDEX('03.Muestra'!$B$8:$B$42,SMALL(IF("Página Web"='03.Muestra'!$D$8:$D$42,ROW('03.Muestra'!$B$8:$B$42)-MIN(ROW('03.Muestra'!$D$8:$D$42))+1,""),ROW()-702)),"")</f>
        <v/>
      </c>
      <c r="B708" s="114" t="str" cm="1">
        <f t="array" ref="B708">IFERROR(INDEX('03.Muestra'!$C$8:$C$42,SMALL(IF("Página Web"='03.Muestra'!$D$8:$D$42,ROW('03.Muestra'!$C$8:$C$42)-MIN(ROW('03.Muestra'!$D$8:$D$42))+1,""),ROW()-702)),"")</f>
        <v/>
      </c>
      <c r="C708" s="114" t="str" cm="1">
        <f t="array" ref="C708">IFERROR(INDEX('03.Muestra'!$F$8:$F$42,SMALL(IF("Página Web"='03.Muestra'!$D$8:$D$42,ROW('03.Muestra'!$F$8:$F$42)-MIN(ROW('03.Muestra'!$D$8:$D$42))+1,""),ROW()-702)),"")</f>
        <v/>
      </c>
      <c r="D708" s="130"/>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t="str" cm="1">
        <f t="array" ref="A709">IFERROR(INDEX('03.Muestra'!$B$8:$B$42,SMALL(IF("Página Web"='03.Muestra'!$D$8:$D$42,ROW('03.Muestra'!$B$8:$B$42)-MIN(ROW('03.Muestra'!$D$8:$D$42))+1,""),ROW()-702)),"")</f>
        <v/>
      </c>
      <c r="B709" s="114" t="str" cm="1">
        <f t="array" ref="B709">IFERROR(INDEX('03.Muestra'!$C$8:$C$42,SMALL(IF("Página Web"='03.Muestra'!$D$8:$D$42,ROW('03.Muestra'!$C$8:$C$42)-MIN(ROW('03.Muestra'!$D$8:$D$42))+1,""),ROW()-702)),"")</f>
        <v/>
      </c>
      <c r="C709" s="114" t="str" cm="1">
        <f t="array" ref="C709">IFERROR(INDEX('03.Muestra'!$F$8:$F$42,SMALL(IF("Página Web"='03.Muestra'!$D$8:$D$42,ROW('03.Muestra'!$F$8:$F$42)-MIN(ROW('03.Muestra'!$D$8:$D$42))+1,""),ROW()-702)),"")</f>
        <v/>
      </c>
      <c r="D709" s="130" t="str">
        <f t="shared" ref="D709:D737" si="37">IF(AND(B709&lt;&gt;"",C709&lt;&gt;""),"N/T","")</f>
        <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t="str" cm="1">
        <f t="array" ref="A710">IFERROR(INDEX('03.Muestra'!$B$8:$B$42,SMALL(IF("Página Web"='03.Muestra'!$D$8:$D$42,ROW('03.Muestra'!$B$8:$B$42)-MIN(ROW('03.Muestra'!$D$8:$D$42))+1,""),ROW()-702)),"")</f>
        <v/>
      </c>
      <c r="B710" s="114" t="str" cm="1">
        <f t="array" ref="B710">IFERROR(INDEX('03.Muestra'!$C$8:$C$42,SMALL(IF("Página Web"='03.Muestra'!$D$8:$D$42,ROW('03.Muestra'!$C$8:$C$42)-MIN(ROW('03.Muestra'!$D$8:$D$42))+1,""),ROW()-702)),"")</f>
        <v/>
      </c>
      <c r="C710" s="114" t="str" cm="1">
        <f t="array" ref="C710">IFERROR(INDEX('03.Muestra'!$F$8:$F$42,SMALL(IF("Página Web"='03.Muestra'!$D$8:$D$42,ROW('03.Muestra'!$F$8:$F$42)-MIN(ROW('03.Muestra'!$D$8:$D$42))+1,""),ROW()-702)),"")</f>
        <v/>
      </c>
      <c r="D710" s="130" t="str">
        <f t="shared" si="37"/>
        <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t="str" cm="1">
        <f t="array" ref="A711">IFERROR(INDEX('03.Muestra'!$B$8:$B$42,SMALL(IF("Página Web"='03.Muestra'!$D$8:$D$42,ROW('03.Muestra'!$B$8:$B$42)-MIN(ROW('03.Muestra'!$D$8:$D$42))+1,""),ROW()-702)),"")</f>
        <v/>
      </c>
      <c r="B711" s="114" t="str" cm="1">
        <f t="array" ref="B711">IFERROR(INDEX('03.Muestra'!$C$8:$C$42,SMALL(IF("Página Web"='03.Muestra'!$D$8:$D$42,ROW('03.Muestra'!$C$8:$C$42)-MIN(ROW('03.Muestra'!$D$8:$D$42))+1,""),ROW()-702)),"")</f>
        <v/>
      </c>
      <c r="C711" s="114" t="str" cm="1">
        <f t="array" ref="C711">IFERROR(INDEX('03.Muestra'!$F$8:$F$42,SMALL(IF("Página Web"='03.Muestra'!$D$8:$D$42,ROW('03.Muestra'!$F$8:$F$42)-MIN(ROW('03.Muestra'!$D$8:$D$42))+1,""),ROW()-702)),"")</f>
        <v/>
      </c>
      <c r="D711" s="130" t="str">
        <f t="shared" si="37"/>
        <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t="str" cm="1">
        <f t="array" ref="A712">IFERROR(INDEX('03.Muestra'!$B$8:$B$42,SMALL(IF("Página Web"='03.Muestra'!$D$8:$D$42,ROW('03.Muestra'!$B$8:$B$42)-MIN(ROW('03.Muestra'!$D$8:$D$42))+1,""),ROW()-702)),"")</f>
        <v/>
      </c>
      <c r="B712" s="114" t="str" cm="1">
        <f t="array" ref="B712">IFERROR(INDEX('03.Muestra'!$C$8:$C$42,SMALL(IF("Página Web"='03.Muestra'!$D$8:$D$42,ROW('03.Muestra'!$C$8:$C$42)-MIN(ROW('03.Muestra'!$D$8:$D$42))+1,""),ROW()-702)),"")</f>
        <v/>
      </c>
      <c r="C712" s="114" t="str" cm="1">
        <f t="array" ref="C712">IFERROR(INDEX('03.Muestra'!$F$8:$F$42,SMALL(IF("Página Web"='03.Muestra'!$D$8:$D$42,ROW('03.Muestra'!$F$8:$F$42)-MIN(ROW('03.Muestra'!$D$8:$D$42))+1,""),ROW()-702)),"")</f>
        <v/>
      </c>
      <c r="D712" s="130" t="str">
        <f t="shared" si="37"/>
        <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t="str" cm="1">
        <f t="array" ref="A713">IFERROR(INDEX('03.Muestra'!$B$8:$B$42,SMALL(IF("Página Web"='03.Muestra'!$D$8:$D$42,ROW('03.Muestra'!$B$8:$B$42)-MIN(ROW('03.Muestra'!$D$8:$D$42))+1,""),ROW()-702)),"")</f>
        <v/>
      </c>
      <c r="B713" s="114" t="str" cm="1">
        <f t="array" ref="B713">IFERROR(INDEX('03.Muestra'!$C$8:$C$42,SMALL(IF("Página Web"='03.Muestra'!$D$8:$D$42,ROW('03.Muestra'!$C$8:$C$42)-MIN(ROW('03.Muestra'!$D$8:$D$42))+1,""),ROW()-702)),"")</f>
        <v/>
      </c>
      <c r="C713" s="114" t="str" cm="1">
        <f t="array" ref="C713">IFERROR(INDEX('03.Muestra'!$F$8:$F$42,SMALL(IF("Página Web"='03.Muestra'!$D$8:$D$42,ROW('03.Muestra'!$F$8:$F$42)-MIN(ROW('03.Muestra'!$D$8:$D$42))+1,""),ROW()-702)),"")</f>
        <v/>
      </c>
      <c r="D713" s="130" t="str">
        <f t="shared" si="37"/>
        <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t="str" cm="1">
        <f t="array" ref="A714">IFERROR(INDEX('03.Muestra'!$B$8:$B$42,SMALL(IF("Página Web"='03.Muestra'!$D$8:$D$42,ROW('03.Muestra'!$B$8:$B$42)-MIN(ROW('03.Muestra'!$D$8:$D$42))+1,""),ROW()-702)),"")</f>
        <v/>
      </c>
      <c r="B714" s="114" t="str" cm="1">
        <f t="array" ref="B714">IFERROR(INDEX('03.Muestra'!$C$8:$C$42,SMALL(IF("Página Web"='03.Muestra'!$D$8:$D$42,ROW('03.Muestra'!$C$8:$C$42)-MIN(ROW('03.Muestra'!$D$8:$D$42))+1,""),ROW()-702)),"")</f>
        <v/>
      </c>
      <c r="C714" s="114" t="str" cm="1">
        <f t="array" ref="C714">IFERROR(INDEX('03.Muestra'!$F$8:$F$42,SMALL(IF("Página Web"='03.Muestra'!$D$8:$D$42,ROW('03.Muestra'!$F$8:$F$42)-MIN(ROW('03.Muestra'!$D$8:$D$42))+1,""),ROW()-702)),"")</f>
        <v/>
      </c>
      <c r="D714" s="130" t="str">
        <f t="shared" si="37"/>
        <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5" customHeight="1">
      <c r="A715" s="219" t="str" cm="1">
        <f t="array" ref="A715">IFERROR(INDEX('03.Muestra'!$B$8:$B$42,SMALL(IF("Página Web"='03.Muestra'!$D$8:$D$42,ROW('03.Muestra'!$B$8:$B$42)-MIN(ROW('03.Muestra'!$D$8:$D$42))+1,""),ROW()-702)),"")</f>
        <v/>
      </c>
      <c r="B715" s="114" t="str" cm="1">
        <f t="array" ref="B715">IFERROR(INDEX('03.Muestra'!$C$8:$C$42,SMALL(IF("Página Web"='03.Muestra'!$D$8:$D$42,ROW('03.Muestra'!$C$8:$C$42)-MIN(ROW('03.Muestra'!$D$8:$D$42))+1,""),ROW()-702)),"")</f>
        <v/>
      </c>
      <c r="C715" s="114" t="str" cm="1">
        <f t="array" ref="C715">IFERROR(INDEX('03.Muestra'!$F$8:$F$42,SMALL(IF("Página Web"='03.Muestra'!$D$8:$D$42,ROW('03.Muestra'!$F$8:$F$42)-MIN(ROW('03.Muestra'!$D$8:$D$42))+1,""),ROW()-702)),"")</f>
        <v/>
      </c>
      <c r="D715" s="130" t="str">
        <f t="shared" si="37"/>
        <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5" customHeight="1">
      <c r="A716" s="219" t="str" cm="1">
        <f t="array" ref="A716">IFERROR(INDEX('03.Muestra'!$B$8:$B$42,SMALL(IF("Página Web"='03.Muestra'!$D$8:$D$42,ROW('03.Muestra'!$B$8:$B$42)-MIN(ROW('03.Muestra'!$D$8:$D$42))+1,""),ROW()-702)),"")</f>
        <v/>
      </c>
      <c r="B716" s="114" t="str" cm="1">
        <f t="array" ref="B716">IFERROR(INDEX('03.Muestra'!$C$8:$C$42,SMALL(IF("Página Web"='03.Muestra'!$D$8:$D$42,ROW('03.Muestra'!$C$8:$C$42)-MIN(ROW('03.Muestra'!$D$8:$D$42))+1,""),ROW()-702)),"")</f>
        <v/>
      </c>
      <c r="C716" s="114" t="str" cm="1">
        <f t="array" ref="C716">IFERROR(INDEX('03.Muestra'!$F$8:$F$42,SMALL(IF("Página Web"='03.Muestra'!$D$8:$D$42,ROW('03.Muestra'!$F$8:$F$42)-MIN(ROW('03.Muestra'!$D$8:$D$42))+1,""),ROW()-702)),"")</f>
        <v/>
      </c>
      <c r="D716" s="130" t="str">
        <f t="shared" si="37"/>
        <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5" customHeight="1">
      <c r="A717" s="219" t="str" cm="1">
        <f t="array" ref="A717">IFERROR(INDEX('03.Muestra'!$B$8:$B$42,SMALL(IF("Página Web"='03.Muestra'!$D$8:$D$42,ROW('03.Muestra'!$B$8:$B$42)-MIN(ROW('03.Muestra'!$D$8:$D$42))+1,""),ROW()-702)),"")</f>
        <v/>
      </c>
      <c r="B717" s="114" t="str" cm="1">
        <f t="array" ref="B717">IFERROR(INDEX('03.Muestra'!$C$8:$C$42,SMALL(IF("Página Web"='03.Muestra'!$D$8:$D$42,ROW('03.Muestra'!$C$8:$C$42)-MIN(ROW('03.Muestra'!$D$8:$D$42))+1,""),ROW()-702)),"")</f>
        <v/>
      </c>
      <c r="C717" s="114" t="str" cm="1">
        <f t="array" ref="C717">IFERROR(INDEX('03.Muestra'!$F$8:$F$42,SMALL(IF("Página Web"='03.Muestra'!$D$8:$D$42,ROW('03.Muestra'!$F$8:$F$42)-MIN(ROW('03.Muestra'!$D$8:$D$42))+1,""),ROW()-702)),"")</f>
        <v/>
      </c>
      <c r="D717" s="130" t="str">
        <f t="shared" si="37"/>
        <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5"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si="37"/>
        <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761" priority="616" stopIfTrue="1" operator="equal">
      <formula>"ERR"</formula>
    </cfRule>
  </conditionalFormatting>
  <conditionalFormatting sqref="D19 D61:D92 D441:D471 D479:D509 D555:D585 D593:D623 F19:J19 F57:J57 F437:J437 F475:J475 F551:J551 F589:J589 F95:J95 F133:J133 F171:J171 F209:J209 F247:J247 F285:J285 F323:J323 F361:J361 F399:J399 F513:J513 F627:J627 F665:J665 F703:J703 D23:D53">
    <cfRule type="expression" dxfId="1760" priority="610" stopIfTrue="1">
      <formula>ISBLANK(D19)</formula>
    </cfRule>
    <cfRule type="cellIs" dxfId="1759" priority="611" stopIfTrue="1" operator="equal">
      <formula>"Pasa"</formula>
    </cfRule>
    <cfRule type="cellIs" dxfId="1758" priority="612" stopIfTrue="1" operator="equal">
      <formula>"Falla"</formula>
    </cfRule>
    <cfRule type="cellIs" dxfId="1757" priority="613" stopIfTrue="1" operator="equal">
      <formula>"N/A"</formula>
    </cfRule>
    <cfRule type="cellIs" dxfId="1756" priority="614" stopIfTrue="1" operator="equal">
      <formula>"N/T"</formula>
    </cfRule>
    <cfRule type="cellIs" dxfId="1755" priority="615" stopIfTrue="1" operator="equal">
      <formula>"N/D"</formula>
    </cfRule>
  </conditionalFormatting>
  <conditionalFormatting sqref="D1:D8 D739:D1048576 D10:D19 D435:D436 D549:D550 D23:D56 D61:D93 D441:D474 D479:D510 D555:D588 D593:D624">
    <cfRule type="cellIs" dxfId="1754" priority="495" stopIfTrue="1" operator="equal">
      <formula>"-"</formula>
    </cfRule>
  </conditionalFormatting>
  <conditionalFormatting sqref="E95:E130">
    <cfRule type="cellIs" dxfId="1753" priority="494" stopIfTrue="1" operator="equal">
      <formula>"ERR"</formula>
    </cfRule>
  </conditionalFormatting>
  <conditionalFormatting sqref="D99:D130">
    <cfRule type="expression" dxfId="1752" priority="488" stopIfTrue="1">
      <formula>ISBLANK(D99)</formula>
    </cfRule>
    <cfRule type="cellIs" dxfId="1751" priority="489" stopIfTrue="1" operator="equal">
      <formula>"Pasa"</formula>
    </cfRule>
    <cfRule type="cellIs" dxfId="1750" priority="490" stopIfTrue="1" operator="equal">
      <formula>"Falla"</formula>
    </cfRule>
    <cfRule type="cellIs" dxfId="1749" priority="491" stopIfTrue="1" operator="equal">
      <formula>"N/A"</formula>
    </cfRule>
    <cfRule type="cellIs" dxfId="1748" priority="492" stopIfTrue="1" operator="equal">
      <formula>"N/T"</formula>
    </cfRule>
    <cfRule type="cellIs" dxfId="1747" priority="493" stopIfTrue="1" operator="equal">
      <formula>"N/D"</formula>
    </cfRule>
  </conditionalFormatting>
  <conditionalFormatting sqref="D94 D99:D131">
    <cfRule type="cellIs" dxfId="1746" priority="481" stopIfTrue="1" operator="equal">
      <formula>"-"</formula>
    </cfRule>
  </conditionalFormatting>
  <conditionalFormatting sqref="E133:E168">
    <cfRule type="cellIs" dxfId="1745" priority="480" stopIfTrue="1" operator="equal">
      <formula>"ERR"</formula>
    </cfRule>
  </conditionalFormatting>
  <conditionalFormatting sqref="D137:D168">
    <cfRule type="expression" dxfId="1744" priority="474" stopIfTrue="1">
      <formula>ISBLANK(D137)</formula>
    </cfRule>
    <cfRule type="cellIs" dxfId="1743" priority="475" stopIfTrue="1" operator="equal">
      <formula>"Pasa"</formula>
    </cfRule>
    <cfRule type="cellIs" dxfId="1742" priority="476" stopIfTrue="1" operator="equal">
      <formula>"Falla"</formula>
    </cfRule>
    <cfRule type="cellIs" dxfId="1741" priority="477" stopIfTrue="1" operator="equal">
      <formula>"N/A"</formula>
    </cfRule>
    <cfRule type="cellIs" dxfId="1740" priority="478" stopIfTrue="1" operator="equal">
      <formula>"N/T"</formula>
    </cfRule>
    <cfRule type="cellIs" dxfId="1739" priority="479" stopIfTrue="1" operator="equal">
      <formula>"N/D"</formula>
    </cfRule>
  </conditionalFormatting>
  <conditionalFormatting sqref="D132 D137:D169">
    <cfRule type="cellIs" dxfId="1738" priority="467" stopIfTrue="1" operator="equal">
      <formula>"-"</formula>
    </cfRule>
  </conditionalFormatting>
  <conditionalFormatting sqref="E171:E205">
    <cfRule type="cellIs" dxfId="1737" priority="466" stopIfTrue="1" operator="equal">
      <formula>"ERR"</formula>
    </cfRule>
  </conditionalFormatting>
  <conditionalFormatting sqref="D175:D205">
    <cfRule type="expression" dxfId="1736" priority="460" stopIfTrue="1">
      <formula>ISBLANK(D175)</formula>
    </cfRule>
    <cfRule type="cellIs" dxfId="1735" priority="461" stopIfTrue="1" operator="equal">
      <formula>"Pasa"</formula>
    </cfRule>
    <cfRule type="cellIs" dxfId="1734" priority="462" stopIfTrue="1" operator="equal">
      <formula>"Falla"</formula>
    </cfRule>
    <cfRule type="cellIs" dxfId="1733" priority="463" stopIfTrue="1" operator="equal">
      <formula>"N/A"</formula>
    </cfRule>
    <cfRule type="cellIs" dxfId="1732" priority="464" stopIfTrue="1" operator="equal">
      <formula>"N/T"</formula>
    </cfRule>
    <cfRule type="cellIs" dxfId="1731" priority="465" stopIfTrue="1" operator="equal">
      <formula>"N/D"</formula>
    </cfRule>
  </conditionalFormatting>
  <conditionalFormatting sqref="D170 D175:D206">
    <cfRule type="cellIs" dxfId="1730" priority="453" stopIfTrue="1" operator="equal">
      <formula>"-"</formula>
    </cfRule>
  </conditionalFormatting>
  <conditionalFormatting sqref="D207">
    <cfRule type="cellIs" dxfId="1729" priority="452" stopIfTrue="1" operator="equal">
      <formula>"-"</formula>
    </cfRule>
  </conditionalFormatting>
  <conditionalFormatting sqref="E209:E243">
    <cfRule type="cellIs" dxfId="1728" priority="451" stopIfTrue="1" operator="equal">
      <formula>"ERR"</formula>
    </cfRule>
  </conditionalFormatting>
  <conditionalFormatting sqref="D213:D243">
    <cfRule type="expression" dxfId="1727" priority="445" stopIfTrue="1">
      <formula>ISBLANK(D213)</formula>
    </cfRule>
    <cfRule type="cellIs" dxfId="1726" priority="446" stopIfTrue="1" operator="equal">
      <formula>"Pasa"</formula>
    </cfRule>
    <cfRule type="cellIs" dxfId="1725" priority="447" stopIfTrue="1" operator="equal">
      <formula>"Falla"</formula>
    </cfRule>
    <cfRule type="cellIs" dxfId="1724" priority="448" stopIfTrue="1" operator="equal">
      <formula>"N/A"</formula>
    </cfRule>
    <cfRule type="cellIs" dxfId="1723" priority="449" stopIfTrue="1" operator="equal">
      <formula>"N/T"</formula>
    </cfRule>
    <cfRule type="cellIs" dxfId="1722" priority="450" stopIfTrue="1" operator="equal">
      <formula>"N/D"</formula>
    </cfRule>
  </conditionalFormatting>
  <conditionalFormatting sqref="D208 D213:D244">
    <cfRule type="cellIs" dxfId="1721" priority="438" stopIfTrue="1" operator="equal">
      <formula>"-"</formula>
    </cfRule>
  </conditionalFormatting>
  <conditionalFormatting sqref="D245">
    <cfRule type="cellIs" dxfId="1720" priority="437" stopIfTrue="1" operator="equal">
      <formula>"-"</formula>
    </cfRule>
  </conditionalFormatting>
  <conditionalFormatting sqref="E247:E281">
    <cfRule type="cellIs" dxfId="1719" priority="436" stopIfTrue="1" operator="equal">
      <formula>"ERR"</formula>
    </cfRule>
  </conditionalFormatting>
  <conditionalFormatting sqref="D251:D281">
    <cfRule type="expression" dxfId="1718" priority="430" stopIfTrue="1">
      <formula>ISBLANK(D251)</formula>
    </cfRule>
    <cfRule type="cellIs" dxfId="1717" priority="431" stopIfTrue="1" operator="equal">
      <formula>"Pasa"</formula>
    </cfRule>
    <cfRule type="cellIs" dxfId="1716" priority="432" stopIfTrue="1" operator="equal">
      <formula>"Falla"</formula>
    </cfRule>
    <cfRule type="cellIs" dxfId="1715" priority="433" stopIfTrue="1" operator="equal">
      <formula>"N/A"</formula>
    </cfRule>
    <cfRule type="cellIs" dxfId="1714" priority="434" stopIfTrue="1" operator="equal">
      <formula>"N/T"</formula>
    </cfRule>
    <cfRule type="cellIs" dxfId="1713" priority="435" stopIfTrue="1" operator="equal">
      <formula>"N/D"</formula>
    </cfRule>
  </conditionalFormatting>
  <conditionalFormatting sqref="D246 D251:D282">
    <cfRule type="cellIs" dxfId="1712" priority="423" stopIfTrue="1" operator="equal">
      <formula>"-"</formula>
    </cfRule>
  </conditionalFormatting>
  <conditionalFormatting sqref="D283">
    <cfRule type="cellIs" dxfId="1711" priority="422" stopIfTrue="1" operator="equal">
      <formula>"-"</formula>
    </cfRule>
  </conditionalFormatting>
  <conditionalFormatting sqref="E285:E319">
    <cfRule type="cellIs" dxfId="1710" priority="421" stopIfTrue="1" operator="equal">
      <formula>"ERR"</formula>
    </cfRule>
  </conditionalFormatting>
  <conditionalFormatting sqref="D289:D319">
    <cfRule type="expression" dxfId="1709" priority="415" stopIfTrue="1">
      <formula>ISBLANK(D289)</formula>
    </cfRule>
    <cfRule type="cellIs" dxfId="1708" priority="416" stopIfTrue="1" operator="equal">
      <formula>"Pasa"</formula>
    </cfRule>
    <cfRule type="cellIs" dxfId="1707" priority="417" stopIfTrue="1" operator="equal">
      <formula>"Falla"</formula>
    </cfRule>
    <cfRule type="cellIs" dxfId="1706" priority="418" stopIfTrue="1" operator="equal">
      <formula>"N/A"</formula>
    </cfRule>
    <cfRule type="cellIs" dxfId="1705" priority="419" stopIfTrue="1" operator="equal">
      <formula>"N/T"</formula>
    </cfRule>
    <cfRule type="cellIs" dxfId="1704" priority="420" stopIfTrue="1" operator="equal">
      <formula>"N/D"</formula>
    </cfRule>
  </conditionalFormatting>
  <conditionalFormatting sqref="D284 D289:D320">
    <cfRule type="cellIs" dxfId="1703" priority="408" stopIfTrue="1" operator="equal">
      <formula>"-"</formula>
    </cfRule>
  </conditionalFormatting>
  <conditionalFormatting sqref="D321">
    <cfRule type="cellIs" dxfId="1702" priority="407" stopIfTrue="1" operator="equal">
      <formula>"-"</formula>
    </cfRule>
  </conditionalFormatting>
  <conditionalFormatting sqref="E323:E357">
    <cfRule type="cellIs" dxfId="1701" priority="406" stopIfTrue="1" operator="equal">
      <formula>"ERR"</formula>
    </cfRule>
  </conditionalFormatting>
  <conditionalFormatting sqref="D327:D357">
    <cfRule type="expression" dxfId="1700" priority="400" stopIfTrue="1">
      <formula>ISBLANK(D327)</formula>
    </cfRule>
    <cfRule type="cellIs" dxfId="1699" priority="401" stopIfTrue="1" operator="equal">
      <formula>"Pasa"</formula>
    </cfRule>
    <cfRule type="cellIs" dxfId="1698" priority="402" stopIfTrue="1" operator="equal">
      <formula>"Falla"</formula>
    </cfRule>
    <cfRule type="cellIs" dxfId="1697" priority="403" stopIfTrue="1" operator="equal">
      <formula>"N/A"</formula>
    </cfRule>
    <cfRule type="cellIs" dxfId="1696" priority="404" stopIfTrue="1" operator="equal">
      <formula>"N/T"</formula>
    </cfRule>
    <cfRule type="cellIs" dxfId="1695" priority="405" stopIfTrue="1" operator="equal">
      <formula>"N/D"</formula>
    </cfRule>
  </conditionalFormatting>
  <conditionalFormatting sqref="D322 D327:D358">
    <cfRule type="cellIs" dxfId="1694" priority="393" stopIfTrue="1" operator="equal">
      <formula>"-"</formula>
    </cfRule>
  </conditionalFormatting>
  <conditionalFormatting sqref="D359">
    <cfRule type="cellIs" dxfId="1693" priority="392" stopIfTrue="1" operator="equal">
      <formula>"-"</formula>
    </cfRule>
  </conditionalFormatting>
  <conditionalFormatting sqref="E361:E395">
    <cfRule type="cellIs" dxfId="1692" priority="391" stopIfTrue="1" operator="equal">
      <formula>"ERR"</formula>
    </cfRule>
  </conditionalFormatting>
  <conditionalFormatting sqref="D365:D395">
    <cfRule type="expression" dxfId="1691" priority="385" stopIfTrue="1">
      <formula>ISBLANK(D365)</formula>
    </cfRule>
    <cfRule type="cellIs" dxfId="1690" priority="386" stopIfTrue="1" operator="equal">
      <formula>"Pasa"</formula>
    </cfRule>
    <cfRule type="cellIs" dxfId="1689" priority="387" stopIfTrue="1" operator="equal">
      <formula>"Falla"</formula>
    </cfRule>
    <cfRule type="cellIs" dxfId="1688" priority="388" stopIfTrue="1" operator="equal">
      <formula>"N/A"</formula>
    </cfRule>
    <cfRule type="cellIs" dxfId="1687" priority="389" stopIfTrue="1" operator="equal">
      <formula>"N/T"</formula>
    </cfRule>
    <cfRule type="cellIs" dxfId="1686" priority="390" stopIfTrue="1" operator="equal">
      <formula>"N/D"</formula>
    </cfRule>
  </conditionalFormatting>
  <conditionalFormatting sqref="D360 D365:D396">
    <cfRule type="cellIs" dxfId="1685" priority="378" stopIfTrue="1" operator="equal">
      <formula>"-"</formula>
    </cfRule>
  </conditionalFormatting>
  <conditionalFormatting sqref="D397">
    <cfRule type="cellIs" dxfId="1684" priority="377" stopIfTrue="1" operator="equal">
      <formula>"-"</formula>
    </cfRule>
  </conditionalFormatting>
  <conditionalFormatting sqref="E399:E433">
    <cfRule type="cellIs" dxfId="1683" priority="376" stopIfTrue="1" operator="equal">
      <formula>"ERR"</formula>
    </cfRule>
  </conditionalFormatting>
  <conditionalFormatting sqref="D403:D433">
    <cfRule type="expression" dxfId="1682" priority="370" stopIfTrue="1">
      <formula>ISBLANK(D403)</formula>
    </cfRule>
    <cfRule type="cellIs" dxfId="1681" priority="371" stopIfTrue="1" operator="equal">
      <formula>"Pasa"</formula>
    </cfRule>
    <cfRule type="cellIs" dxfId="1680" priority="372" stopIfTrue="1" operator="equal">
      <formula>"Falla"</formula>
    </cfRule>
    <cfRule type="cellIs" dxfId="1679" priority="373" stopIfTrue="1" operator="equal">
      <formula>"N/A"</formula>
    </cfRule>
    <cfRule type="cellIs" dxfId="1678" priority="374" stopIfTrue="1" operator="equal">
      <formula>"N/T"</formula>
    </cfRule>
    <cfRule type="cellIs" dxfId="1677" priority="375" stopIfTrue="1" operator="equal">
      <formula>"N/D"</formula>
    </cfRule>
  </conditionalFormatting>
  <conditionalFormatting sqref="D398 D403:D434">
    <cfRule type="cellIs" dxfId="1676" priority="363" stopIfTrue="1" operator="equal">
      <formula>"-"</formula>
    </cfRule>
  </conditionalFormatting>
  <conditionalFormatting sqref="E513:E547">
    <cfRule type="cellIs" dxfId="1675" priority="362" stopIfTrue="1" operator="equal">
      <formula>"ERR"</formula>
    </cfRule>
  </conditionalFormatting>
  <conditionalFormatting sqref="D517:D547">
    <cfRule type="expression" dxfId="1674" priority="356" stopIfTrue="1">
      <formula>ISBLANK(D517)</formula>
    </cfRule>
    <cfRule type="cellIs" dxfId="1673" priority="357" stopIfTrue="1" operator="equal">
      <formula>"Pasa"</formula>
    </cfRule>
    <cfRule type="cellIs" dxfId="1672" priority="358" stopIfTrue="1" operator="equal">
      <formula>"Falla"</formula>
    </cfRule>
    <cfRule type="cellIs" dxfId="1671" priority="359" stopIfTrue="1" operator="equal">
      <formula>"N/A"</formula>
    </cfRule>
    <cfRule type="cellIs" dxfId="1670" priority="360" stopIfTrue="1" operator="equal">
      <formula>"N/T"</formula>
    </cfRule>
    <cfRule type="cellIs" dxfId="1669" priority="361" stopIfTrue="1" operator="equal">
      <formula>"N/D"</formula>
    </cfRule>
  </conditionalFormatting>
  <conditionalFormatting sqref="D511:D512 D517:D548">
    <cfRule type="cellIs" dxfId="1668" priority="349" stopIfTrue="1" operator="equal">
      <formula>"-"</formula>
    </cfRule>
  </conditionalFormatting>
  <conditionalFormatting sqref="E627:E661">
    <cfRule type="cellIs" dxfId="1667" priority="320" stopIfTrue="1" operator="equal">
      <formula>"ERR"</formula>
    </cfRule>
  </conditionalFormatting>
  <conditionalFormatting sqref="D631:D661">
    <cfRule type="expression" dxfId="1666" priority="314" stopIfTrue="1">
      <formula>ISBLANK(D631)</formula>
    </cfRule>
    <cfRule type="cellIs" dxfId="1665" priority="315" stopIfTrue="1" operator="equal">
      <formula>"Pasa"</formula>
    </cfRule>
    <cfRule type="cellIs" dxfId="1664" priority="316" stopIfTrue="1" operator="equal">
      <formula>"Falla"</formula>
    </cfRule>
    <cfRule type="cellIs" dxfId="1663" priority="317" stopIfTrue="1" operator="equal">
      <formula>"N/A"</formula>
    </cfRule>
    <cfRule type="cellIs" dxfId="1662" priority="318" stopIfTrue="1" operator="equal">
      <formula>"N/T"</formula>
    </cfRule>
    <cfRule type="cellIs" dxfId="1661" priority="319" stopIfTrue="1" operator="equal">
      <formula>"N/D"</formula>
    </cfRule>
  </conditionalFormatting>
  <conditionalFormatting sqref="D625:D626 D631:D662">
    <cfRule type="cellIs" dxfId="1660" priority="307" stopIfTrue="1" operator="equal">
      <formula>"-"</formula>
    </cfRule>
  </conditionalFormatting>
  <conditionalFormatting sqref="E665:E699">
    <cfRule type="cellIs" dxfId="1659" priority="306" stopIfTrue="1" operator="equal">
      <formula>"ERR"</formula>
    </cfRule>
  </conditionalFormatting>
  <conditionalFormatting sqref="D669:D699">
    <cfRule type="expression" dxfId="1658" priority="300" stopIfTrue="1">
      <formula>ISBLANK(D669)</formula>
    </cfRule>
    <cfRule type="cellIs" dxfId="1657" priority="301" stopIfTrue="1" operator="equal">
      <formula>"Pasa"</formula>
    </cfRule>
    <cfRule type="cellIs" dxfId="1656" priority="302" stopIfTrue="1" operator="equal">
      <formula>"Falla"</formula>
    </cfRule>
    <cfRule type="cellIs" dxfId="1655" priority="303" stopIfTrue="1" operator="equal">
      <formula>"N/A"</formula>
    </cfRule>
    <cfRule type="cellIs" dxfId="1654" priority="304" stopIfTrue="1" operator="equal">
      <formula>"N/T"</formula>
    </cfRule>
    <cfRule type="cellIs" dxfId="1653" priority="305" stopIfTrue="1" operator="equal">
      <formula>"N/D"</formula>
    </cfRule>
  </conditionalFormatting>
  <conditionalFormatting sqref="D663:D664 D669:D700">
    <cfRule type="cellIs" dxfId="1652" priority="293" stopIfTrue="1" operator="equal">
      <formula>"-"</formula>
    </cfRule>
  </conditionalFormatting>
  <conditionalFormatting sqref="E703:E737">
    <cfRule type="cellIs" dxfId="1651" priority="292" stopIfTrue="1" operator="equal">
      <formula>"ERR"</formula>
    </cfRule>
  </conditionalFormatting>
  <conditionalFormatting sqref="D707:D737">
    <cfRule type="expression" dxfId="1650" priority="286" stopIfTrue="1">
      <formula>ISBLANK(D707)</formula>
    </cfRule>
    <cfRule type="cellIs" dxfId="1649" priority="287" stopIfTrue="1" operator="equal">
      <formula>"Pasa"</formula>
    </cfRule>
    <cfRule type="cellIs" dxfId="1648" priority="288" stopIfTrue="1" operator="equal">
      <formula>"Falla"</formula>
    </cfRule>
    <cfRule type="cellIs" dxfId="1647" priority="289" stopIfTrue="1" operator="equal">
      <formula>"N/A"</formula>
    </cfRule>
    <cfRule type="cellIs" dxfId="1646" priority="290" stopIfTrue="1" operator="equal">
      <formula>"N/T"</formula>
    </cfRule>
    <cfRule type="cellIs" dxfId="1645" priority="291" stopIfTrue="1" operator="equal">
      <formula>"N/D"</formula>
    </cfRule>
  </conditionalFormatting>
  <conditionalFormatting sqref="D701:D702 D707:D738">
    <cfRule type="cellIs" dxfId="1644" priority="279" stopIfTrue="1" operator="equal">
      <formula>"-"</formula>
    </cfRule>
  </conditionalFormatting>
  <conditionalFormatting sqref="K23">
    <cfRule type="expression" dxfId="1643" priority="273" stopIfTrue="1">
      <formula>ISBLANK(K23)</formula>
    </cfRule>
    <cfRule type="cellIs" dxfId="1642" priority="274" stopIfTrue="1" operator="equal">
      <formula>"Pasa"</formula>
    </cfRule>
    <cfRule type="cellIs" dxfId="1641" priority="275" stopIfTrue="1" operator="equal">
      <formula>"Falla"</formula>
    </cfRule>
    <cfRule type="cellIs" dxfId="1640" priority="276" stopIfTrue="1" operator="equal">
      <formula>"N/A"</formula>
    </cfRule>
    <cfRule type="cellIs" dxfId="1639" priority="277" stopIfTrue="1" operator="equal">
      <formula>"N/T"</formula>
    </cfRule>
    <cfRule type="cellIs" dxfId="1638" priority="278" stopIfTrue="1" operator="equal">
      <formula>"N/D"</formula>
    </cfRule>
  </conditionalFormatting>
  <conditionalFormatting sqref="K24">
    <cfRule type="expression" dxfId="1637" priority="267" stopIfTrue="1">
      <formula>ISBLANK(K24)</formula>
    </cfRule>
    <cfRule type="cellIs" dxfId="1636" priority="268" stopIfTrue="1" operator="equal">
      <formula>"Pasa"</formula>
    </cfRule>
    <cfRule type="cellIs" dxfId="1635" priority="269" stopIfTrue="1" operator="equal">
      <formula>"Falla"</formula>
    </cfRule>
    <cfRule type="cellIs" dxfId="1634" priority="270" stopIfTrue="1" operator="equal">
      <formula>"N/A"</formula>
    </cfRule>
    <cfRule type="cellIs" dxfId="1633" priority="271" stopIfTrue="1" operator="equal">
      <formula>"N/T"</formula>
    </cfRule>
    <cfRule type="cellIs" dxfId="1632" priority="272" stopIfTrue="1" operator="equal">
      <formula>"N/D"</formula>
    </cfRule>
  </conditionalFormatting>
  <conditionalFormatting sqref="D20:D21">
    <cfRule type="expression" dxfId="1631" priority="261" stopIfTrue="1">
      <formula>ISBLANK(D20)</formula>
    </cfRule>
    <cfRule type="cellIs" dxfId="1630" priority="262" stopIfTrue="1" operator="equal">
      <formula>"Pasa"</formula>
    </cfRule>
    <cfRule type="cellIs" dxfId="1629" priority="263" stopIfTrue="1" operator="equal">
      <formula>"Falla"</formula>
    </cfRule>
    <cfRule type="cellIs" dxfId="1628" priority="264" stopIfTrue="1" operator="equal">
      <formula>"N/A"</formula>
    </cfRule>
    <cfRule type="cellIs" dxfId="1627" priority="265" stopIfTrue="1" operator="equal">
      <formula>"N/T"</formula>
    </cfRule>
    <cfRule type="cellIs" dxfId="1626" priority="266" stopIfTrue="1" operator="equal">
      <formula>"N/D"</formula>
    </cfRule>
  </conditionalFormatting>
  <conditionalFormatting sqref="D20:D21">
    <cfRule type="cellIs" dxfId="1625" priority="260" stopIfTrue="1" operator="equal">
      <formula>"-"</formula>
    </cfRule>
  </conditionalFormatting>
  <conditionalFormatting sqref="D57:D59">
    <cfRule type="expression" dxfId="1624" priority="254" stopIfTrue="1">
      <formula>ISBLANK(D57)</formula>
    </cfRule>
    <cfRule type="cellIs" dxfId="1623" priority="255" stopIfTrue="1" operator="equal">
      <formula>"Pasa"</formula>
    </cfRule>
    <cfRule type="cellIs" dxfId="1622" priority="256" stopIfTrue="1" operator="equal">
      <formula>"Falla"</formula>
    </cfRule>
    <cfRule type="cellIs" dxfId="1621" priority="257" stopIfTrue="1" operator="equal">
      <formula>"N/A"</formula>
    </cfRule>
    <cfRule type="cellIs" dxfId="1620" priority="258" stopIfTrue="1" operator="equal">
      <formula>"N/T"</formula>
    </cfRule>
    <cfRule type="cellIs" dxfId="1619" priority="259" stopIfTrue="1" operator="equal">
      <formula>"N/D"</formula>
    </cfRule>
  </conditionalFormatting>
  <conditionalFormatting sqref="D57:D59">
    <cfRule type="cellIs" dxfId="1618" priority="253" stopIfTrue="1" operator="equal">
      <formula>"-"</formula>
    </cfRule>
  </conditionalFormatting>
  <conditionalFormatting sqref="D95:D97">
    <cfRule type="expression" dxfId="1617" priority="247" stopIfTrue="1">
      <formula>ISBLANK(D95)</formula>
    </cfRule>
    <cfRule type="cellIs" dxfId="1616" priority="248" stopIfTrue="1" operator="equal">
      <formula>"Pasa"</formula>
    </cfRule>
    <cfRule type="cellIs" dxfId="1615" priority="249" stopIfTrue="1" operator="equal">
      <formula>"Falla"</formula>
    </cfRule>
    <cfRule type="cellIs" dxfId="1614" priority="250" stopIfTrue="1" operator="equal">
      <formula>"N/A"</formula>
    </cfRule>
    <cfRule type="cellIs" dxfId="1613" priority="251" stopIfTrue="1" operator="equal">
      <formula>"N/T"</formula>
    </cfRule>
    <cfRule type="cellIs" dxfId="1612" priority="252" stopIfTrue="1" operator="equal">
      <formula>"N/D"</formula>
    </cfRule>
  </conditionalFormatting>
  <conditionalFormatting sqref="D95:D97">
    <cfRule type="cellIs" dxfId="1611" priority="246" stopIfTrue="1" operator="equal">
      <formula>"-"</formula>
    </cfRule>
  </conditionalFormatting>
  <conditionalFormatting sqref="D133:D135">
    <cfRule type="expression" dxfId="1610" priority="240" stopIfTrue="1">
      <formula>ISBLANK(D133)</formula>
    </cfRule>
    <cfRule type="cellIs" dxfId="1609" priority="241" stopIfTrue="1" operator="equal">
      <formula>"Pasa"</formula>
    </cfRule>
    <cfRule type="cellIs" dxfId="1608" priority="242" stopIfTrue="1" operator="equal">
      <formula>"Falla"</formula>
    </cfRule>
    <cfRule type="cellIs" dxfId="1607" priority="243" stopIfTrue="1" operator="equal">
      <formula>"N/A"</formula>
    </cfRule>
    <cfRule type="cellIs" dxfId="1606" priority="244" stopIfTrue="1" operator="equal">
      <formula>"N/T"</formula>
    </cfRule>
    <cfRule type="cellIs" dxfId="1605" priority="245" stopIfTrue="1" operator="equal">
      <formula>"N/D"</formula>
    </cfRule>
  </conditionalFormatting>
  <conditionalFormatting sqref="D133:D135">
    <cfRule type="cellIs" dxfId="1604" priority="239" stopIfTrue="1" operator="equal">
      <formula>"-"</formula>
    </cfRule>
  </conditionalFormatting>
  <conditionalFormatting sqref="D171:D173">
    <cfRule type="expression" dxfId="1603" priority="233" stopIfTrue="1">
      <formula>ISBLANK(D171)</formula>
    </cfRule>
    <cfRule type="cellIs" dxfId="1602" priority="234" stopIfTrue="1" operator="equal">
      <formula>"Pasa"</formula>
    </cfRule>
    <cfRule type="cellIs" dxfId="1601" priority="235" stopIfTrue="1" operator="equal">
      <formula>"Falla"</formula>
    </cfRule>
    <cfRule type="cellIs" dxfId="1600" priority="236" stopIfTrue="1" operator="equal">
      <formula>"N/A"</formula>
    </cfRule>
    <cfRule type="cellIs" dxfId="1599" priority="237" stopIfTrue="1" operator="equal">
      <formula>"N/T"</formula>
    </cfRule>
    <cfRule type="cellIs" dxfId="1598" priority="238" stopIfTrue="1" operator="equal">
      <formula>"N/D"</formula>
    </cfRule>
  </conditionalFormatting>
  <conditionalFormatting sqref="D171:D173">
    <cfRule type="cellIs" dxfId="1597" priority="232" stopIfTrue="1" operator="equal">
      <formula>"-"</formula>
    </cfRule>
  </conditionalFormatting>
  <conditionalFormatting sqref="D209:D211">
    <cfRule type="expression" dxfId="1596" priority="226" stopIfTrue="1">
      <formula>ISBLANK(D209)</formula>
    </cfRule>
    <cfRule type="cellIs" dxfId="1595" priority="227" stopIfTrue="1" operator="equal">
      <formula>"Pasa"</formula>
    </cfRule>
    <cfRule type="cellIs" dxfId="1594" priority="228" stopIfTrue="1" operator="equal">
      <formula>"Falla"</formula>
    </cfRule>
    <cfRule type="cellIs" dxfId="1593" priority="229" stopIfTrue="1" operator="equal">
      <formula>"N/A"</formula>
    </cfRule>
    <cfRule type="cellIs" dxfId="1592" priority="230" stopIfTrue="1" operator="equal">
      <formula>"N/T"</formula>
    </cfRule>
    <cfRule type="cellIs" dxfId="1591" priority="231" stopIfTrue="1" operator="equal">
      <formula>"N/D"</formula>
    </cfRule>
  </conditionalFormatting>
  <conditionalFormatting sqref="D209:D211">
    <cfRule type="cellIs" dxfId="1590" priority="225" stopIfTrue="1" operator="equal">
      <formula>"-"</formula>
    </cfRule>
  </conditionalFormatting>
  <conditionalFormatting sqref="D247:D249">
    <cfRule type="expression" dxfId="1589" priority="219" stopIfTrue="1">
      <formula>ISBLANK(D247)</formula>
    </cfRule>
    <cfRule type="cellIs" dxfId="1588" priority="220" stopIfTrue="1" operator="equal">
      <formula>"Pasa"</formula>
    </cfRule>
    <cfRule type="cellIs" dxfId="1587" priority="221" stopIfTrue="1" operator="equal">
      <formula>"Falla"</formula>
    </cfRule>
    <cfRule type="cellIs" dxfId="1586" priority="222" stopIfTrue="1" operator="equal">
      <formula>"N/A"</formula>
    </cfRule>
    <cfRule type="cellIs" dxfId="1585" priority="223" stopIfTrue="1" operator="equal">
      <formula>"N/T"</formula>
    </cfRule>
    <cfRule type="cellIs" dxfId="1584" priority="224" stopIfTrue="1" operator="equal">
      <formula>"N/D"</formula>
    </cfRule>
  </conditionalFormatting>
  <conditionalFormatting sqref="D247:D249">
    <cfRule type="cellIs" dxfId="1583" priority="218" stopIfTrue="1" operator="equal">
      <formula>"-"</formula>
    </cfRule>
  </conditionalFormatting>
  <conditionalFormatting sqref="D285:D287">
    <cfRule type="expression" dxfId="1582" priority="212" stopIfTrue="1">
      <formula>ISBLANK(D285)</formula>
    </cfRule>
    <cfRule type="cellIs" dxfId="1581" priority="213" stopIfTrue="1" operator="equal">
      <formula>"Pasa"</formula>
    </cfRule>
    <cfRule type="cellIs" dxfId="1580" priority="214" stopIfTrue="1" operator="equal">
      <formula>"Falla"</formula>
    </cfRule>
    <cfRule type="cellIs" dxfId="1579" priority="215" stopIfTrue="1" operator="equal">
      <formula>"N/A"</formula>
    </cfRule>
    <cfRule type="cellIs" dxfId="1578" priority="216" stopIfTrue="1" operator="equal">
      <formula>"N/T"</formula>
    </cfRule>
    <cfRule type="cellIs" dxfId="1577" priority="217" stopIfTrue="1" operator="equal">
      <formula>"N/D"</formula>
    </cfRule>
  </conditionalFormatting>
  <conditionalFormatting sqref="D285:D287">
    <cfRule type="cellIs" dxfId="1576" priority="211" stopIfTrue="1" operator="equal">
      <formula>"-"</formula>
    </cfRule>
  </conditionalFormatting>
  <conditionalFormatting sqref="D323:D325">
    <cfRule type="expression" dxfId="1575" priority="205" stopIfTrue="1">
      <formula>ISBLANK(D323)</formula>
    </cfRule>
    <cfRule type="cellIs" dxfId="1574" priority="206" stopIfTrue="1" operator="equal">
      <formula>"Pasa"</formula>
    </cfRule>
    <cfRule type="cellIs" dxfId="1573" priority="207" stopIfTrue="1" operator="equal">
      <formula>"Falla"</formula>
    </cfRule>
    <cfRule type="cellIs" dxfId="1572" priority="208" stopIfTrue="1" operator="equal">
      <formula>"N/A"</formula>
    </cfRule>
    <cfRule type="cellIs" dxfId="1571" priority="209" stopIfTrue="1" operator="equal">
      <formula>"N/T"</formula>
    </cfRule>
    <cfRule type="cellIs" dxfId="1570" priority="210" stopIfTrue="1" operator="equal">
      <formula>"N/D"</formula>
    </cfRule>
  </conditionalFormatting>
  <conditionalFormatting sqref="D323:D325">
    <cfRule type="cellIs" dxfId="1569" priority="204" stopIfTrue="1" operator="equal">
      <formula>"-"</formula>
    </cfRule>
  </conditionalFormatting>
  <conditionalFormatting sqref="D361:D363">
    <cfRule type="expression" dxfId="1568" priority="198" stopIfTrue="1">
      <formula>ISBLANK(D361)</formula>
    </cfRule>
    <cfRule type="cellIs" dxfId="1567" priority="199" stopIfTrue="1" operator="equal">
      <formula>"Pasa"</formula>
    </cfRule>
    <cfRule type="cellIs" dxfId="1566" priority="200" stopIfTrue="1" operator="equal">
      <formula>"Falla"</formula>
    </cfRule>
    <cfRule type="cellIs" dxfId="1565" priority="201" stopIfTrue="1" operator="equal">
      <formula>"N/A"</formula>
    </cfRule>
    <cfRule type="cellIs" dxfId="1564" priority="202" stopIfTrue="1" operator="equal">
      <formula>"N/T"</formula>
    </cfRule>
    <cfRule type="cellIs" dxfId="1563" priority="203" stopIfTrue="1" operator="equal">
      <formula>"N/D"</formula>
    </cfRule>
  </conditionalFormatting>
  <conditionalFormatting sqref="D361:D363">
    <cfRule type="cellIs" dxfId="1562" priority="197" stopIfTrue="1" operator="equal">
      <formula>"-"</formula>
    </cfRule>
  </conditionalFormatting>
  <conditionalFormatting sqref="D399:D401">
    <cfRule type="expression" dxfId="1561" priority="191" stopIfTrue="1">
      <formula>ISBLANK(D399)</formula>
    </cfRule>
    <cfRule type="cellIs" dxfId="1560" priority="192" stopIfTrue="1" operator="equal">
      <formula>"Pasa"</formula>
    </cfRule>
    <cfRule type="cellIs" dxfId="1559" priority="193" stopIfTrue="1" operator="equal">
      <formula>"Falla"</formula>
    </cfRule>
    <cfRule type="cellIs" dxfId="1558" priority="194" stopIfTrue="1" operator="equal">
      <formula>"N/A"</formula>
    </cfRule>
    <cfRule type="cellIs" dxfId="1557" priority="195" stopIfTrue="1" operator="equal">
      <formula>"N/T"</formula>
    </cfRule>
    <cfRule type="cellIs" dxfId="1556" priority="196" stopIfTrue="1" operator="equal">
      <formula>"N/D"</formula>
    </cfRule>
  </conditionalFormatting>
  <conditionalFormatting sqref="D399:D401">
    <cfRule type="cellIs" dxfId="1555" priority="190" stopIfTrue="1" operator="equal">
      <formula>"-"</formula>
    </cfRule>
  </conditionalFormatting>
  <conditionalFormatting sqref="D437:D439">
    <cfRule type="expression" dxfId="1554" priority="184" stopIfTrue="1">
      <formula>ISBLANK(D437)</formula>
    </cfRule>
    <cfRule type="cellIs" dxfId="1553" priority="185" stopIfTrue="1" operator="equal">
      <formula>"Pasa"</formula>
    </cfRule>
    <cfRule type="cellIs" dxfId="1552" priority="186" stopIfTrue="1" operator="equal">
      <formula>"Falla"</formula>
    </cfRule>
    <cfRule type="cellIs" dxfId="1551" priority="187" stopIfTrue="1" operator="equal">
      <formula>"N/A"</formula>
    </cfRule>
    <cfRule type="cellIs" dxfId="1550" priority="188" stopIfTrue="1" operator="equal">
      <formula>"N/T"</formula>
    </cfRule>
    <cfRule type="cellIs" dxfId="1549" priority="189" stopIfTrue="1" operator="equal">
      <formula>"N/D"</formula>
    </cfRule>
  </conditionalFormatting>
  <conditionalFormatting sqref="D437:D439">
    <cfRule type="cellIs" dxfId="1548" priority="183" stopIfTrue="1" operator="equal">
      <formula>"-"</formula>
    </cfRule>
  </conditionalFormatting>
  <conditionalFormatting sqref="D475:D477">
    <cfRule type="expression" dxfId="1547" priority="177" stopIfTrue="1">
      <formula>ISBLANK(D475)</formula>
    </cfRule>
    <cfRule type="cellIs" dxfId="1546" priority="178" stopIfTrue="1" operator="equal">
      <formula>"Pasa"</formula>
    </cfRule>
    <cfRule type="cellIs" dxfId="1545" priority="179" stopIfTrue="1" operator="equal">
      <formula>"Falla"</formula>
    </cfRule>
    <cfRule type="cellIs" dxfId="1544" priority="180" stopIfTrue="1" operator="equal">
      <formula>"N/A"</formula>
    </cfRule>
    <cfRule type="cellIs" dxfId="1543" priority="181" stopIfTrue="1" operator="equal">
      <formula>"N/T"</formula>
    </cfRule>
    <cfRule type="cellIs" dxfId="1542" priority="182" stopIfTrue="1" operator="equal">
      <formula>"N/D"</formula>
    </cfRule>
  </conditionalFormatting>
  <conditionalFormatting sqref="D475:D477">
    <cfRule type="cellIs" dxfId="1541" priority="176" stopIfTrue="1" operator="equal">
      <formula>"-"</formula>
    </cfRule>
  </conditionalFormatting>
  <conditionalFormatting sqref="D513:D515">
    <cfRule type="expression" dxfId="1540" priority="170" stopIfTrue="1">
      <formula>ISBLANK(D513)</formula>
    </cfRule>
    <cfRule type="cellIs" dxfId="1539" priority="171" stopIfTrue="1" operator="equal">
      <formula>"Pasa"</formula>
    </cfRule>
    <cfRule type="cellIs" dxfId="1538" priority="172" stopIfTrue="1" operator="equal">
      <formula>"Falla"</formula>
    </cfRule>
    <cfRule type="cellIs" dxfId="1537" priority="173" stopIfTrue="1" operator="equal">
      <formula>"N/A"</formula>
    </cfRule>
    <cfRule type="cellIs" dxfId="1536" priority="174" stopIfTrue="1" operator="equal">
      <formula>"N/T"</formula>
    </cfRule>
    <cfRule type="cellIs" dxfId="1535" priority="175" stopIfTrue="1" operator="equal">
      <formula>"N/D"</formula>
    </cfRule>
  </conditionalFormatting>
  <conditionalFormatting sqref="D513:D515">
    <cfRule type="cellIs" dxfId="1534" priority="169" stopIfTrue="1" operator="equal">
      <formula>"-"</formula>
    </cfRule>
  </conditionalFormatting>
  <conditionalFormatting sqref="D551:D553">
    <cfRule type="expression" dxfId="1533" priority="163" stopIfTrue="1">
      <formula>ISBLANK(D551)</formula>
    </cfRule>
    <cfRule type="cellIs" dxfId="1532" priority="164" stopIfTrue="1" operator="equal">
      <formula>"Pasa"</formula>
    </cfRule>
    <cfRule type="cellIs" dxfId="1531" priority="165" stopIfTrue="1" operator="equal">
      <formula>"Falla"</formula>
    </cfRule>
    <cfRule type="cellIs" dxfId="1530" priority="166" stopIfTrue="1" operator="equal">
      <formula>"N/A"</formula>
    </cfRule>
    <cfRule type="cellIs" dxfId="1529" priority="167" stopIfTrue="1" operator="equal">
      <formula>"N/T"</formula>
    </cfRule>
    <cfRule type="cellIs" dxfId="1528" priority="168" stopIfTrue="1" operator="equal">
      <formula>"N/D"</formula>
    </cfRule>
  </conditionalFormatting>
  <conditionalFormatting sqref="D551:D553">
    <cfRule type="cellIs" dxfId="1527" priority="162" stopIfTrue="1" operator="equal">
      <formula>"-"</formula>
    </cfRule>
  </conditionalFormatting>
  <conditionalFormatting sqref="D589:D591">
    <cfRule type="expression" dxfId="1526" priority="156" stopIfTrue="1">
      <formula>ISBLANK(D589)</formula>
    </cfRule>
    <cfRule type="cellIs" dxfId="1525" priority="157" stopIfTrue="1" operator="equal">
      <formula>"Pasa"</formula>
    </cfRule>
    <cfRule type="cellIs" dxfId="1524" priority="158" stopIfTrue="1" operator="equal">
      <formula>"Falla"</formula>
    </cfRule>
    <cfRule type="cellIs" dxfId="1523" priority="159" stopIfTrue="1" operator="equal">
      <formula>"N/A"</formula>
    </cfRule>
    <cfRule type="cellIs" dxfId="1522" priority="160" stopIfTrue="1" operator="equal">
      <formula>"N/T"</formula>
    </cfRule>
    <cfRule type="cellIs" dxfId="1521" priority="161" stopIfTrue="1" operator="equal">
      <formula>"N/D"</formula>
    </cfRule>
  </conditionalFormatting>
  <conditionalFormatting sqref="D589:D591">
    <cfRule type="cellIs" dxfId="1520" priority="155" stopIfTrue="1" operator="equal">
      <formula>"-"</formula>
    </cfRule>
  </conditionalFormatting>
  <conditionalFormatting sqref="D627:D629">
    <cfRule type="expression" dxfId="1519" priority="149" stopIfTrue="1">
      <formula>ISBLANK(D627)</formula>
    </cfRule>
    <cfRule type="cellIs" dxfId="1518" priority="150" stopIfTrue="1" operator="equal">
      <formula>"Pasa"</formula>
    </cfRule>
    <cfRule type="cellIs" dxfId="1517" priority="151" stopIfTrue="1" operator="equal">
      <formula>"Falla"</formula>
    </cfRule>
    <cfRule type="cellIs" dxfId="1516" priority="152" stopIfTrue="1" operator="equal">
      <formula>"N/A"</formula>
    </cfRule>
    <cfRule type="cellIs" dxfId="1515" priority="153" stopIfTrue="1" operator="equal">
      <formula>"N/T"</formula>
    </cfRule>
    <cfRule type="cellIs" dxfId="1514" priority="154" stopIfTrue="1" operator="equal">
      <formula>"N/D"</formula>
    </cfRule>
  </conditionalFormatting>
  <conditionalFormatting sqref="D627:D629">
    <cfRule type="cellIs" dxfId="1513" priority="148" stopIfTrue="1" operator="equal">
      <formula>"-"</formula>
    </cfRule>
  </conditionalFormatting>
  <conditionalFormatting sqref="D665:D667">
    <cfRule type="expression" dxfId="1512" priority="142" stopIfTrue="1">
      <formula>ISBLANK(D665)</formula>
    </cfRule>
    <cfRule type="cellIs" dxfId="1511" priority="143" stopIfTrue="1" operator="equal">
      <formula>"Pasa"</formula>
    </cfRule>
    <cfRule type="cellIs" dxfId="1510" priority="144" stopIfTrue="1" operator="equal">
      <formula>"Falla"</formula>
    </cfRule>
    <cfRule type="cellIs" dxfId="1509" priority="145" stopIfTrue="1" operator="equal">
      <formula>"N/A"</formula>
    </cfRule>
    <cfRule type="cellIs" dxfId="1508" priority="146" stopIfTrue="1" operator="equal">
      <formula>"N/T"</formula>
    </cfRule>
    <cfRule type="cellIs" dxfId="1507" priority="147" stopIfTrue="1" operator="equal">
      <formula>"N/D"</formula>
    </cfRule>
  </conditionalFormatting>
  <conditionalFormatting sqref="D665:D667">
    <cfRule type="cellIs" dxfId="1506" priority="141" stopIfTrue="1" operator="equal">
      <formula>"-"</formula>
    </cfRule>
  </conditionalFormatting>
  <conditionalFormatting sqref="D703:D705">
    <cfRule type="expression" dxfId="1505" priority="135" stopIfTrue="1">
      <formula>ISBLANK(D703)</formula>
    </cfRule>
    <cfRule type="cellIs" dxfId="1504" priority="136" stopIfTrue="1" operator="equal">
      <formula>"Pasa"</formula>
    </cfRule>
    <cfRule type="cellIs" dxfId="1503" priority="137" stopIfTrue="1" operator="equal">
      <formula>"Falla"</formula>
    </cfRule>
    <cfRule type="cellIs" dxfId="1502" priority="138" stopIfTrue="1" operator="equal">
      <formula>"N/A"</formula>
    </cfRule>
    <cfRule type="cellIs" dxfId="1501" priority="139" stopIfTrue="1" operator="equal">
      <formula>"N/T"</formula>
    </cfRule>
    <cfRule type="cellIs" dxfId="1500" priority="140" stopIfTrue="1" operator="equal">
      <formula>"N/D"</formula>
    </cfRule>
  </conditionalFormatting>
  <conditionalFormatting sqref="D703:D705">
    <cfRule type="cellIs" dxfId="1499" priority="134" stopIfTrue="1" operator="equal">
      <formula>"-"</formula>
    </cfRule>
  </conditionalFormatting>
  <conditionalFormatting sqref="D706">
    <cfRule type="expression" dxfId="1498" priority="128" stopIfTrue="1">
      <formula>ISBLANK(D706)</formula>
    </cfRule>
    <cfRule type="cellIs" dxfId="1497" priority="129" stopIfTrue="1" operator="equal">
      <formula>"Pasa"</formula>
    </cfRule>
    <cfRule type="cellIs" dxfId="1496" priority="130" stopIfTrue="1" operator="equal">
      <formula>"Falla"</formula>
    </cfRule>
    <cfRule type="cellIs" dxfId="1495" priority="131" stopIfTrue="1" operator="equal">
      <formula>"N/A"</formula>
    </cfRule>
    <cfRule type="cellIs" dxfId="1494" priority="132" stopIfTrue="1" operator="equal">
      <formula>"N/T"</formula>
    </cfRule>
    <cfRule type="cellIs" dxfId="1493" priority="133" stopIfTrue="1" operator="equal">
      <formula>"N/D"</formula>
    </cfRule>
  </conditionalFormatting>
  <conditionalFormatting sqref="D706">
    <cfRule type="cellIs" dxfId="1492" priority="127" stopIfTrue="1" operator="equal">
      <formula>"-"</formula>
    </cfRule>
  </conditionalFormatting>
  <conditionalFormatting sqref="D668">
    <cfRule type="expression" dxfId="1491" priority="121" stopIfTrue="1">
      <formula>ISBLANK(D668)</formula>
    </cfRule>
    <cfRule type="cellIs" dxfId="1490" priority="122" stopIfTrue="1" operator="equal">
      <formula>"Pasa"</formula>
    </cfRule>
    <cfRule type="cellIs" dxfId="1489" priority="123" stopIfTrue="1" operator="equal">
      <formula>"Falla"</formula>
    </cfRule>
    <cfRule type="cellIs" dxfId="1488" priority="124" stopIfTrue="1" operator="equal">
      <formula>"N/A"</formula>
    </cfRule>
    <cfRule type="cellIs" dxfId="1487" priority="125" stopIfTrue="1" operator="equal">
      <formula>"N/T"</formula>
    </cfRule>
    <cfRule type="cellIs" dxfId="1486" priority="126" stopIfTrue="1" operator="equal">
      <formula>"N/D"</formula>
    </cfRule>
  </conditionalFormatting>
  <conditionalFormatting sqref="D668">
    <cfRule type="cellIs" dxfId="1485" priority="120" stopIfTrue="1" operator="equal">
      <formula>"-"</formula>
    </cfRule>
  </conditionalFormatting>
  <conditionalFormatting sqref="D630">
    <cfRule type="expression" dxfId="1484" priority="114" stopIfTrue="1">
      <formula>ISBLANK(D630)</formula>
    </cfRule>
    <cfRule type="cellIs" dxfId="1483" priority="115" stopIfTrue="1" operator="equal">
      <formula>"Pasa"</formula>
    </cfRule>
    <cfRule type="cellIs" dxfId="1482" priority="116" stopIfTrue="1" operator="equal">
      <formula>"Falla"</formula>
    </cfRule>
    <cfRule type="cellIs" dxfId="1481" priority="117" stopIfTrue="1" operator="equal">
      <formula>"N/A"</formula>
    </cfRule>
    <cfRule type="cellIs" dxfId="1480" priority="118" stopIfTrue="1" operator="equal">
      <formula>"N/T"</formula>
    </cfRule>
    <cfRule type="cellIs" dxfId="1479" priority="119" stopIfTrue="1" operator="equal">
      <formula>"N/D"</formula>
    </cfRule>
  </conditionalFormatting>
  <conditionalFormatting sqref="D630">
    <cfRule type="cellIs" dxfId="1478" priority="113" stopIfTrue="1" operator="equal">
      <formula>"-"</formula>
    </cfRule>
  </conditionalFormatting>
  <conditionalFormatting sqref="D592">
    <cfRule type="expression" dxfId="1477" priority="107" stopIfTrue="1">
      <formula>ISBLANK(D592)</formula>
    </cfRule>
    <cfRule type="cellIs" dxfId="1476" priority="108" stopIfTrue="1" operator="equal">
      <formula>"Pasa"</formula>
    </cfRule>
    <cfRule type="cellIs" dxfId="1475" priority="109" stopIfTrue="1" operator="equal">
      <formula>"Falla"</formula>
    </cfRule>
    <cfRule type="cellIs" dxfId="1474" priority="110" stopIfTrue="1" operator="equal">
      <formula>"N/A"</formula>
    </cfRule>
    <cfRule type="cellIs" dxfId="1473" priority="111" stopIfTrue="1" operator="equal">
      <formula>"N/T"</formula>
    </cfRule>
    <cfRule type="cellIs" dxfId="1472" priority="112" stopIfTrue="1" operator="equal">
      <formula>"N/D"</formula>
    </cfRule>
  </conditionalFormatting>
  <conditionalFormatting sqref="D592">
    <cfRule type="cellIs" dxfId="1471" priority="106" stopIfTrue="1" operator="equal">
      <formula>"-"</formula>
    </cfRule>
  </conditionalFormatting>
  <conditionalFormatting sqref="D554">
    <cfRule type="expression" dxfId="1470" priority="100" stopIfTrue="1">
      <formula>ISBLANK(D554)</formula>
    </cfRule>
    <cfRule type="cellIs" dxfId="1469" priority="101" stopIfTrue="1" operator="equal">
      <formula>"Pasa"</formula>
    </cfRule>
    <cfRule type="cellIs" dxfId="1468" priority="102" stopIfTrue="1" operator="equal">
      <formula>"Falla"</formula>
    </cfRule>
    <cfRule type="cellIs" dxfId="1467" priority="103" stopIfTrue="1" operator="equal">
      <formula>"N/A"</formula>
    </cfRule>
    <cfRule type="cellIs" dxfId="1466" priority="104" stopIfTrue="1" operator="equal">
      <formula>"N/T"</formula>
    </cfRule>
    <cfRule type="cellIs" dxfId="1465" priority="105" stopIfTrue="1" operator="equal">
      <formula>"N/D"</formula>
    </cfRule>
  </conditionalFormatting>
  <conditionalFormatting sqref="D554">
    <cfRule type="cellIs" dxfId="1464" priority="99" stopIfTrue="1" operator="equal">
      <formula>"-"</formula>
    </cfRule>
  </conditionalFormatting>
  <conditionalFormatting sqref="D516">
    <cfRule type="expression" dxfId="1463" priority="93" stopIfTrue="1">
      <formula>ISBLANK(D516)</formula>
    </cfRule>
    <cfRule type="cellIs" dxfId="1462" priority="94" stopIfTrue="1" operator="equal">
      <formula>"Pasa"</formula>
    </cfRule>
    <cfRule type="cellIs" dxfId="1461" priority="95" stopIfTrue="1" operator="equal">
      <formula>"Falla"</formula>
    </cfRule>
    <cfRule type="cellIs" dxfId="1460" priority="96" stopIfTrue="1" operator="equal">
      <formula>"N/A"</formula>
    </cfRule>
    <cfRule type="cellIs" dxfId="1459" priority="97" stopIfTrue="1" operator="equal">
      <formula>"N/T"</formula>
    </cfRule>
    <cfRule type="cellIs" dxfId="1458" priority="98" stopIfTrue="1" operator="equal">
      <formula>"N/D"</formula>
    </cfRule>
  </conditionalFormatting>
  <conditionalFormatting sqref="D516">
    <cfRule type="cellIs" dxfId="1457" priority="92" stopIfTrue="1" operator="equal">
      <formula>"-"</formula>
    </cfRule>
  </conditionalFormatting>
  <conditionalFormatting sqref="D478">
    <cfRule type="expression" dxfId="1456" priority="86" stopIfTrue="1">
      <formula>ISBLANK(D478)</formula>
    </cfRule>
    <cfRule type="cellIs" dxfId="1455" priority="87" stopIfTrue="1" operator="equal">
      <formula>"Pasa"</formula>
    </cfRule>
    <cfRule type="cellIs" dxfId="1454" priority="88" stopIfTrue="1" operator="equal">
      <formula>"Falla"</formula>
    </cfRule>
    <cfRule type="cellIs" dxfId="1453" priority="89" stopIfTrue="1" operator="equal">
      <formula>"N/A"</formula>
    </cfRule>
    <cfRule type="cellIs" dxfId="1452" priority="90" stopIfTrue="1" operator="equal">
      <formula>"N/T"</formula>
    </cfRule>
    <cfRule type="cellIs" dxfId="1451" priority="91" stopIfTrue="1" operator="equal">
      <formula>"N/D"</formula>
    </cfRule>
  </conditionalFormatting>
  <conditionalFormatting sqref="D478">
    <cfRule type="cellIs" dxfId="1450" priority="85" stopIfTrue="1" operator="equal">
      <formula>"-"</formula>
    </cfRule>
  </conditionalFormatting>
  <conditionalFormatting sqref="D440">
    <cfRule type="expression" dxfId="1449" priority="79" stopIfTrue="1">
      <formula>ISBLANK(D440)</formula>
    </cfRule>
    <cfRule type="cellIs" dxfId="1448" priority="80" stopIfTrue="1" operator="equal">
      <formula>"Pasa"</formula>
    </cfRule>
    <cfRule type="cellIs" dxfId="1447" priority="81" stopIfTrue="1" operator="equal">
      <formula>"Falla"</formula>
    </cfRule>
    <cfRule type="cellIs" dxfId="1446" priority="82" stopIfTrue="1" operator="equal">
      <formula>"N/A"</formula>
    </cfRule>
    <cfRule type="cellIs" dxfId="1445" priority="83" stopIfTrue="1" operator="equal">
      <formula>"N/T"</formula>
    </cfRule>
    <cfRule type="cellIs" dxfId="1444" priority="84" stopIfTrue="1" operator="equal">
      <formula>"N/D"</formula>
    </cfRule>
  </conditionalFormatting>
  <conditionalFormatting sqref="D440">
    <cfRule type="cellIs" dxfId="1443" priority="78" stopIfTrue="1" operator="equal">
      <formula>"-"</formula>
    </cfRule>
  </conditionalFormatting>
  <conditionalFormatting sqref="D402">
    <cfRule type="expression" dxfId="1442" priority="72" stopIfTrue="1">
      <formula>ISBLANK(D402)</formula>
    </cfRule>
    <cfRule type="cellIs" dxfId="1441" priority="73" stopIfTrue="1" operator="equal">
      <formula>"Pasa"</formula>
    </cfRule>
    <cfRule type="cellIs" dxfId="1440" priority="74" stopIfTrue="1" operator="equal">
      <formula>"Falla"</formula>
    </cfRule>
    <cfRule type="cellIs" dxfId="1439" priority="75" stopIfTrue="1" operator="equal">
      <formula>"N/A"</formula>
    </cfRule>
    <cfRule type="cellIs" dxfId="1438" priority="76" stopIfTrue="1" operator="equal">
      <formula>"N/T"</formula>
    </cfRule>
    <cfRule type="cellIs" dxfId="1437" priority="77" stopIfTrue="1" operator="equal">
      <formula>"N/D"</formula>
    </cfRule>
  </conditionalFormatting>
  <conditionalFormatting sqref="D402">
    <cfRule type="cellIs" dxfId="1436" priority="71" stopIfTrue="1" operator="equal">
      <formula>"-"</formula>
    </cfRule>
  </conditionalFormatting>
  <conditionalFormatting sqref="D364">
    <cfRule type="expression" dxfId="1435" priority="65" stopIfTrue="1">
      <formula>ISBLANK(D364)</formula>
    </cfRule>
    <cfRule type="cellIs" dxfId="1434" priority="66" stopIfTrue="1" operator="equal">
      <formula>"Pasa"</formula>
    </cfRule>
    <cfRule type="cellIs" dxfId="1433" priority="67" stopIfTrue="1" operator="equal">
      <formula>"Falla"</formula>
    </cfRule>
    <cfRule type="cellIs" dxfId="1432" priority="68" stopIfTrue="1" operator="equal">
      <formula>"N/A"</formula>
    </cfRule>
    <cfRule type="cellIs" dxfId="1431" priority="69" stopIfTrue="1" operator="equal">
      <formula>"N/T"</formula>
    </cfRule>
    <cfRule type="cellIs" dxfId="1430" priority="70" stopIfTrue="1" operator="equal">
      <formula>"N/D"</formula>
    </cfRule>
  </conditionalFormatting>
  <conditionalFormatting sqref="D364">
    <cfRule type="cellIs" dxfId="1429" priority="64" stopIfTrue="1" operator="equal">
      <formula>"-"</formula>
    </cfRule>
  </conditionalFormatting>
  <conditionalFormatting sqref="D326">
    <cfRule type="expression" dxfId="1428" priority="58" stopIfTrue="1">
      <formula>ISBLANK(D326)</formula>
    </cfRule>
    <cfRule type="cellIs" dxfId="1427" priority="59" stopIfTrue="1" operator="equal">
      <formula>"Pasa"</formula>
    </cfRule>
    <cfRule type="cellIs" dxfId="1426" priority="60" stopIfTrue="1" operator="equal">
      <formula>"Falla"</formula>
    </cfRule>
    <cfRule type="cellIs" dxfId="1425" priority="61" stopIfTrue="1" operator="equal">
      <formula>"N/A"</formula>
    </cfRule>
    <cfRule type="cellIs" dxfId="1424" priority="62" stopIfTrue="1" operator="equal">
      <formula>"N/T"</formula>
    </cfRule>
    <cfRule type="cellIs" dxfId="1423" priority="63" stopIfTrue="1" operator="equal">
      <formula>"N/D"</formula>
    </cfRule>
  </conditionalFormatting>
  <conditionalFormatting sqref="D326">
    <cfRule type="cellIs" dxfId="1422" priority="57" stopIfTrue="1" operator="equal">
      <formula>"-"</formula>
    </cfRule>
  </conditionalFormatting>
  <conditionalFormatting sqref="D288">
    <cfRule type="expression" dxfId="1421" priority="51" stopIfTrue="1">
      <formula>ISBLANK(D288)</formula>
    </cfRule>
    <cfRule type="cellIs" dxfId="1420" priority="52" stopIfTrue="1" operator="equal">
      <formula>"Pasa"</formula>
    </cfRule>
    <cfRule type="cellIs" dxfId="1419" priority="53" stopIfTrue="1" operator="equal">
      <formula>"Falla"</formula>
    </cfRule>
    <cfRule type="cellIs" dxfId="1418" priority="54" stopIfTrue="1" operator="equal">
      <formula>"N/A"</formula>
    </cfRule>
    <cfRule type="cellIs" dxfId="1417" priority="55" stopIfTrue="1" operator="equal">
      <formula>"N/T"</formula>
    </cfRule>
    <cfRule type="cellIs" dxfId="1416" priority="56" stopIfTrue="1" operator="equal">
      <formula>"N/D"</formula>
    </cfRule>
  </conditionalFormatting>
  <conditionalFormatting sqref="D288">
    <cfRule type="cellIs" dxfId="1415" priority="50" stopIfTrue="1" operator="equal">
      <formula>"-"</formula>
    </cfRule>
  </conditionalFormatting>
  <conditionalFormatting sqref="D250">
    <cfRule type="expression" dxfId="1414" priority="44" stopIfTrue="1">
      <formula>ISBLANK(D250)</formula>
    </cfRule>
    <cfRule type="cellIs" dxfId="1413" priority="45" stopIfTrue="1" operator="equal">
      <formula>"Pasa"</formula>
    </cfRule>
    <cfRule type="cellIs" dxfId="1412" priority="46" stopIfTrue="1" operator="equal">
      <formula>"Falla"</formula>
    </cfRule>
    <cfRule type="cellIs" dxfId="1411" priority="47" stopIfTrue="1" operator="equal">
      <formula>"N/A"</formula>
    </cfRule>
    <cfRule type="cellIs" dxfId="1410" priority="48" stopIfTrue="1" operator="equal">
      <formula>"N/T"</formula>
    </cfRule>
    <cfRule type="cellIs" dxfId="1409" priority="49" stopIfTrue="1" operator="equal">
      <formula>"N/D"</formula>
    </cfRule>
  </conditionalFormatting>
  <conditionalFormatting sqref="D250">
    <cfRule type="cellIs" dxfId="1408" priority="43" stopIfTrue="1" operator="equal">
      <formula>"-"</formula>
    </cfRule>
  </conditionalFormatting>
  <conditionalFormatting sqref="D212">
    <cfRule type="expression" dxfId="1407" priority="37" stopIfTrue="1">
      <formula>ISBLANK(D212)</formula>
    </cfRule>
    <cfRule type="cellIs" dxfId="1406" priority="38" stopIfTrue="1" operator="equal">
      <formula>"Pasa"</formula>
    </cfRule>
    <cfRule type="cellIs" dxfId="1405" priority="39" stopIfTrue="1" operator="equal">
      <formula>"Falla"</formula>
    </cfRule>
    <cfRule type="cellIs" dxfId="1404" priority="40" stopIfTrue="1" operator="equal">
      <formula>"N/A"</formula>
    </cfRule>
    <cfRule type="cellIs" dxfId="1403" priority="41" stopIfTrue="1" operator="equal">
      <formula>"N/T"</formula>
    </cfRule>
    <cfRule type="cellIs" dxfId="1402" priority="42" stopIfTrue="1" operator="equal">
      <formula>"N/D"</formula>
    </cfRule>
  </conditionalFormatting>
  <conditionalFormatting sqref="D212">
    <cfRule type="cellIs" dxfId="1401" priority="36" stopIfTrue="1" operator="equal">
      <formula>"-"</formula>
    </cfRule>
  </conditionalFormatting>
  <conditionalFormatting sqref="D174">
    <cfRule type="expression" dxfId="1400" priority="30" stopIfTrue="1">
      <formula>ISBLANK(D174)</formula>
    </cfRule>
    <cfRule type="cellIs" dxfId="1399" priority="31" stopIfTrue="1" operator="equal">
      <formula>"Pasa"</formula>
    </cfRule>
    <cfRule type="cellIs" dxfId="1398" priority="32" stopIfTrue="1" operator="equal">
      <formula>"Falla"</formula>
    </cfRule>
    <cfRule type="cellIs" dxfId="1397" priority="33" stopIfTrue="1" operator="equal">
      <formula>"N/A"</formula>
    </cfRule>
    <cfRule type="cellIs" dxfId="1396" priority="34" stopIfTrue="1" operator="equal">
      <formula>"N/T"</formula>
    </cfRule>
    <cfRule type="cellIs" dxfId="1395" priority="35" stopIfTrue="1" operator="equal">
      <formula>"N/D"</formula>
    </cfRule>
  </conditionalFormatting>
  <conditionalFormatting sqref="D174">
    <cfRule type="cellIs" dxfId="1394" priority="29" stopIfTrue="1" operator="equal">
      <formula>"-"</formula>
    </cfRule>
  </conditionalFormatting>
  <conditionalFormatting sqref="D136">
    <cfRule type="expression" dxfId="1393" priority="23" stopIfTrue="1">
      <formula>ISBLANK(D136)</formula>
    </cfRule>
    <cfRule type="cellIs" dxfId="1392" priority="24" stopIfTrue="1" operator="equal">
      <formula>"Pasa"</formula>
    </cfRule>
    <cfRule type="cellIs" dxfId="1391" priority="25" stopIfTrue="1" operator="equal">
      <formula>"Falla"</formula>
    </cfRule>
    <cfRule type="cellIs" dxfId="1390" priority="26" stopIfTrue="1" operator="equal">
      <formula>"N/A"</formula>
    </cfRule>
    <cfRule type="cellIs" dxfId="1389" priority="27" stopIfTrue="1" operator="equal">
      <formula>"N/T"</formula>
    </cfRule>
    <cfRule type="cellIs" dxfId="1388" priority="28" stopIfTrue="1" operator="equal">
      <formula>"N/D"</formula>
    </cfRule>
  </conditionalFormatting>
  <conditionalFormatting sqref="D136">
    <cfRule type="cellIs" dxfId="1387" priority="22" stopIfTrue="1" operator="equal">
      <formula>"-"</formula>
    </cfRule>
  </conditionalFormatting>
  <conditionalFormatting sqref="D98">
    <cfRule type="expression" dxfId="1386" priority="16" stopIfTrue="1">
      <formula>ISBLANK(D98)</formula>
    </cfRule>
    <cfRule type="cellIs" dxfId="1385" priority="17" stopIfTrue="1" operator="equal">
      <formula>"Pasa"</formula>
    </cfRule>
    <cfRule type="cellIs" dxfId="1384" priority="18" stopIfTrue="1" operator="equal">
      <formula>"Falla"</formula>
    </cfRule>
    <cfRule type="cellIs" dxfId="1383" priority="19" stopIfTrue="1" operator="equal">
      <formula>"N/A"</formula>
    </cfRule>
    <cfRule type="cellIs" dxfId="1382" priority="20" stopIfTrue="1" operator="equal">
      <formula>"N/T"</formula>
    </cfRule>
    <cfRule type="cellIs" dxfId="1381" priority="21" stopIfTrue="1" operator="equal">
      <formula>"N/D"</formula>
    </cfRule>
  </conditionalFormatting>
  <conditionalFormatting sqref="D98">
    <cfRule type="cellIs" dxfId="1380" priority="15" stopIfTrue="1" operator="equal">
      <formula>"-"</formula>
    </cfRule>
  </conditionalFormatting>
  <conditionalFormatting sqref="D60">
    <cfRule type="expression" dxfId="1379" priority="9" stopIfTrue="1">
      <formula>ISBLANK(D60)</formula>
    </cfRule>
    <cfRule type="cellIs" dxfId="1378" priority="10" stopIfTrue="1" operator="equal">
      <formula>"Pasa"</formula>
    </cfRule>
    <cfRule type="cellIs" dxfId="1377" priority="11" stopIfTrue="1" operator="equal">
      <formula>"Falla"</formula>
    </cfRule>
    <cfRule type="cellIs" dxfId="1376" priority="12" stopIfTrue="1" operator="equal">
      <formula>"N/A"</formula>
    </cfRule>
    <cfRule type="cellIs" dxfId="1375" priority="13" stopIfTrue="1" operator="equal">
      <formula>"N/T"</formula>
    </cfRule>
    <cfRule type="cellIs" dxfId="1374" priority="14" stopIfTrue="1" operator="equal">
      <formula>"N/D"</formula>
    </cfRule>
  </conditionalFormatting>
  <conditionalFormatting sqref="D60">
    <cfRule type="cellIs" dxfId="1373" priority="8" stopIfTrue="1" operator="equal">
      <formula>"-"</formula>
    </cfRule>
  </conditionalFormatting>
  <conditionalFormatting sqref="D22">
    <cfRule type="expression" dxfId="1372" priority="2" stopIfTrue="1">
      <formula>ISBLANK(D22)</formula>
    </cfRule>
    <cfRule type="cellIs" dxfId="1371" priority="3" stopIfTrue="1" operator="equal">
      <formula>"Pasa"</formula>
    </cfRule>
    <cfRule type="cellIs" dxfId="1370" priority="4" stopIfTrue="1" operator="equal">
      <formula>"Falla"</formula>
    </cfRule>
    <cfRule type="cellIs" dxfId="1369" priority="5" stopIfTrue="1" operator="equal">
      <formula>"N/A"</formula>
    </cfRule>
    <cfRule type="cellIs" dxfId="1368" priority="6" stopIfTrue="1" operator="equal">
      <formula>"N/T"</formula>
    </cfRule>
    <cfRule type="cellIs" dxfId="1367" priority="7" stopIfTrue="1" operator="equal">
      <formula>"N/D"</formula>
    </cfRule>
  </conditionalFormatting>
  <conditionalFormatting sqref="D22">
    <cfRule type="cellIs" dxfId="1366"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zoomScale="85" zoomScaleNormal="85" workbookViewId="0">
      <selection activeCell="D23" sqref="D23"/>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5"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3" t="s">
        <v>152</v>
      </c>
      <c r="C11" s="264"/>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0</v>
      </c>
      <c r="H12" s="53">
        <f ca="1">IF(($G$15+$K$15)=0,0,G12/($G$15+$K$15))</f>
        <v>0</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0</v>
      </c>
      <c r="H13" s="53">
        <f ca="1">IF(($G$15+$K$15)=0,0,G13/($G$15+$K$15))</f>
        <v>0</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45</v>
      </c>
      <c r="H14" s="53">
        <f ca="1">IF(($G$15+$K$15)=0,0,G14/($G$15+$K$15))</f>
        <v>1</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45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http://www.madrid.org/presupuestos</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Menu 1</v>
      </c>
      <c r="C20" s="114" t="str" cm="1">
        <f t="array" ref="C20">IFERROR(INDEX('03.Muestra'!$F$8:$F$42,SMALL(IF("Página Web"='03.Muestra'!$D$8:$D$42,ROW('03.Muestra'!$F$8:$F$42)-MIN(ROW('03.Muestra'!$D$8:$D$42))+1,""),ROW()-18)),"")</f>
        <v>http://www.madrid.org/presupuestos/index.php/presupuestos-generales/presupuestos-cm/2022</v>
      </c>
      <c r="D20" s="130" t="s">
        <v>35</v>
      </c>
      <c r="E20" s="107" t="str">
        <f t="shared" si="0"/>
        <v/>
      </c>
      <c r="F20" s="120">
        <f ca="1">COUNTIF($D19:INDIRECT("$D" &amp;  SUM(ROW()-1,'03.Muestra'!$D$45)-1),F19)</f>
        <v>0</v>
      </c>
      <c r="G20" s="120">
        <f ca="1">COUNTIF($D19:INDIRECT("$D" &amp;  SUM(ROW()-1,'03.Muestra'!$D$45)-1),G19)</f>
        <v>0</v>
      </c>
      <c r="H20" s="120">
        <f ca="1">COUNTIF($D19:INDIRECT("$D" &amp;  SUM(ROW()-1,'03.Muestra'!$D$45)-1),H19)</f>
        <v>5</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Menu 2</v>
      </c>
      <c r="C21" s="114" t="str" cm="1">
        <f t="array" ref="C21">IFERROR(INDEX('03.Muestra'!$F$8:$F$42,SMALL(IF("Página Web"='03.Muestra'!$D$8:$D$42,ROW('03.Muestra'!$F$8:$F$42)-MIN(ROW('03.Muestra'!$D$8:$D$42))+1,""),ROW()-18)),"")</f>
        <v>http://www.madrid.org/presupuestos/index.php/ejecucion-presupuestaria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Menu 3</v>
      </c>
      <c r="C22" s="114" t="str" cm="1">
        <f t="array" ref="C22">IFERROR(INDEX('03.Muestra'!$F$8:$F$42,SMALL(IF("Página Web"='03.Muestra'!$D$8:$D$42,ROW('03.Muestra'!$F$8:$F$42)-MIN(ROW('03.Muestra'!$D$8:$D$42))+1,""),ROW()-18)),"")</f>
        <v>http://www.madrid.org/presupuestos/index.php/transparencia</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Accesibilidad</v>
      </c>
      <c r="C23" s="114" t="str" cm="1">
        <f t="array" ref="C23">IFERROR(INDEX('03.Muestra'!$F$8:$F$42,SMALL(IF("Página Web"='03.Muestra'!$D$8:$D$42,ROW('03.Muestra'!$F$8:$F$42)-MIN(ROW('03.Muestra'!$D$8:$D$42))+1,""),ROW()-18)),"")</f>
        <v>http://www.madrid.org/presupuestos/index.php/accesibilidad-web</v>
      </c>
      <c r="D23" s="130" t="s">
        <v>35</v>
      </c>
      <c r="E23" s="107" t="str">
        <f t="shared" si="0"/>
        <v/>
      </c>
      <c r="F23" s="122"/>
      <c r="G23" s="19"/>
      <c r="H23" s="19"/>
      <c r="I23" s="19"/>
      <c r="K23" s="117" t="s">
        <v>35</v>
      </c>
      <c r="L23" s="121" t="s">
        <v>36</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ref="D24:D53" si="1">IF(AND(B24&lt;&gt;"",C24&lt;&gt;""),"N/T","")</f>
        <v/>
      </c>
      <c r="E24" s="107" t="str">
        <f t="shared" si="0"/>
        <v/>
      </c>
      <c r="F24" s="19"/>
      <c r="G24" s="19"/>
      <c r="H24" s="19"/>
      <c r="I24" s="19"/>
      <c r="K24" s="116" t="s">
        <v>37</v>
      </c>
      <c r="L24" s="121" t="s">
        <v>38</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http://www.madrid.org/presupuestos</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Menu 1</v>
      </c>
      <c r="C58" s="114" t="str" cm="1">
        <f t="array" ref="C58">IFERROR(INDEX('03.Muestra'!$F$8:$F$42,SMALL(IF("Página Web"='03.Muestra'!$D$8:$D$42,ROW('03.Muestra'!$F$8:$F$42)-MIN(ROW('03.Muestra'!$D$8:$D$42))+1,""),ROW()-56)),"")</f>
        <v>http://www.madrid.org/presupuestos/index.php/presupuestos-generales/presupuestos-cm/2022</v>
      </c>
      <c r="D58" s="130" t="s">
        <v>35</v>
      </c>
      <c r="E58" s="107" t="str">
        <f t="shared" si="2"/>
        <v/>
      </c>
      <c r="F58" s="120">
        <f ca="1">COUNTIF($D57:INDIRECT("$D" &amp;  SUM(ROW()-1,'03.Muestra'!$D$45)-1),F57)</f>
        <v>0</v>
      </c>
      <c r="G58" s="120">
        <f ca="1">COUNTIF($D57:INDIRECT("$D" &amp;  SUM(ROW()-1,'03.Muestra'!$D$45)-1),G57)</f>
        <v>0</v>
      </c>
      <c r="H58" s="120">
        <f ca="1">COUNTIF($D57:INDIRECT("$D" &amp;  SUM(ROW()-1,'03.Muestra'!$D$45)-1),H57)</f>
        <v>5</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Menu 2</v>
      </c>
      <c r="C59" s="114" t="str" cm="1">
        <f t="array" ref="C59">IFERROR(INDEX('03.Muestra'!$F$8:$F$42,SMALL(IF("Página Web"='03.Muestra'!$D$8:$D$42,ROW('03.Muestra'!$F$8:$F$42)-MIN(ROW('03.Muestra'!$D$8:$D$42))+1,""),ROW()-56)),"")</f>
        <v>http://www.madrid.org/presupuestos/index.php/ejecucion-presupuestaria</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Menu 3</v>
      </c>
      <c r="C60" s="114" t="str" cm="1">
        <f t="array" ref="C60">IFERROR(INDEX('03.Muestra'!$F$8:$F$42,SMALL(IF("Página Web"='03.Muestra'!$D$8:$D$42,ROW('03.Muestra'!$F$8:$F$42)-MIN(ROW('03.Muestra'!$D$8:$D$42))+1,""),ROW()-56)),"")</f>
        <v>http://www.madrid.org/presupuestos/index.php/transparencia</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Accesibilidad</v>
      </c>
      <c r="C61" s="114" t="str" cm="1">
        <f t="array" ref="C61">IFERROR(INDEX('03.Muestra'!$F$8:$F$42,SMALL(IF("Página Web"='03.Muestra'!$D$8:$D$42,ROW('03.Muestra'!$F$8:$F$42)-MIN(ROW('03.Muestra'!$D$8:$D$42))+1,""),ROW()-56)),"")</f>
        <v>http://www.madrid.org/presupuestos/index.php/accesibilidad-web</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ref="D62:D91" si="3">IF(AND(B62&lt;&gt;"",C62&lt;&gt;""),"N/T","")</f>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http://www.madrid.org/presupuestos</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Menu 1</v>
      </c>
      <c r="C96" s="114" t="str" cm="1">
        <f t="array" ref="C96">IFERROR(INDEX('03.Muestra'!$F$8:$F$42,SMALL(IF("Página Web"='03.Muestra'!$D$8:$D$42,ROW('03.Muestra'!$F$8:$F$42)-MIN(ROW('03.Muestra'!$D$8:$D$42))+1,""),ROW()-94)),"")</f>
        <v>http://www.madrid.org/presupuestos/index.php/presupuestos-generales/presupuestos-cm/2022</v>
      </c>
      <c r="D96" s="130" t="s">
        <v>35</v>
      </c>
      <c r="E96" s="107" t="str">
        <f t="shared" si="4"/>
        <v/>
      </c>
      <c r="F96" s="120">
        <f ca="1">COUNTIF($D95:INDIRECT("$D" &amp;  SUM(ROW()-1,'03.Muestra'!$D$45)-1),F95)</f>
        <v>0</v>
      </c>
      <c r="G96" s="120">
        <f ca="1">COUNTIF($D95:INDIRECT("$D" &amp;  SUM(ROW()-1,'03.Muestra'!$D$45)-1),G95)</f>
        <v>0</v>
      </c>
      <c r="H96" s="120">
        <f ca="1">COUNTIF($D95:INDIRECT("$D" &amp;  SUM(ROW()-1,'03.Muestra'!$D$45)-1),H95)</f>
        <v>5</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Menu 2</v>
      </c>
      <c r="C97" s="114" t="str" cm="1">
        <f t="array" ref="C97">IFERROR(INDEX('03.Muestra'!$F$8:$F$42,SMALL(IF("Página Web"='03.Muestra'!$D$8:$D$42,ROW('03.Muestra'!$F$8:$F$42)-MIN(ROW('03.Muestra'!$D$8:$D$42))+1,""),ROW()-94)),"")</f>
        <v>http://www.madrid.org/presupuestos/index.php/ejecucion-presupuestaria</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Menu 3</v>
      </c>
      <c r="C98" s="114" t="str" cm="1">
        <f t="array" ref="C98">IFERROR(INDEX('03.Muestra'!$F$8:$F$42,SMALL(IF("Página Web"='03.Muestra'!$D$8:$D$42,ROW('03.Muestra'!$F$8:$F$42)-MIN(ROW('03.Muestra'!$D$8:$D$42))+1,""),ROW()-94)),"")</f>
        <v>http://www.madrid.org/presupuestos/index.php/transparencia</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Accesibilidad</v>
      </c>
      <c r="C99" s="114" t="str" cm="1">
        <f t="array" ref="C99">IFERROR(INDEX('03.Muestra'!$F$8:$F$42,SMALL(IF("Página Web"='03.Muestra'!$D$8:$D$42,ROW('03.Muestra'!$F$8:$F$42)-MIN(ROW('03.Muestra'!$D$8:$D$42))+1,""),ROW()-94)),"")</f>
        <v>http://www.madrid.org/presupuestos/index.php/accesibilidad-web</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ref="D101:D129" si="5">IF(AND(B101&lt;&gt;"",C101&lt;&gt;""),"N/T","")</f>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http://www.madrid.org/presupuestos</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Menu 1</v>
      </c>
      <c r="C134" s="114" t="str" cm="1">
        <f t="array" ref="C134">IFERROR(INDEX('03.Muestra'!$F$8:$F$42,SMALL(IF("Página Web"='03.Muestra'!$D$8:$D$42,ROW('03.Muestra'!$F$8:$F$42)-MIN(ROW('03.Muestra'!$D$8:$D$42))+1,""),ROW()-132)),"")</f>
        <v>http://www.madrid.org/presupuestos/index.php/presupuestos-generales/presupuestos-cm/2022</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5</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Menu 2</v>
      </c>
      <c r="C135" s="114" t="str" cm="1">
        <f t="array" ref="C135">IFERROR(INDEX('03.Muestra'!$F$8:$F$42,SMALL(IF("Página Web"='03.Muestra'!$D$8:$D$42,ROW('03.Muestra'!$F$8:$F$42)-MIN(ROW('03.Muestra'!$D$8:$D$42))+1,""),ROW()-132)),"")</f>
        <v>http://www.madrid.org/presupuestos/index.php/ejecucion-presupuestaria</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Menu 3</v>
      </c>
      <c r="C136" s="114" t="str" cm="1">
        <f t="array" ref="C136">IFERROR(INDEX('03.Muestra'!$F$8:$F$42,SMALL(IF("Página Web"='03.Muestra'!$D$8:$D$42,ROW('03.Muestra'!$F$8:$F$42)-MIN(ROW('03.Muestra'!$D$8:$D$42))+1,""),ROW()-132)),"")</f>
        <v>http://www.madrid.org/presupuestos/index.php/transparencia</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Accesibilidad</v>
      </c>
      <c r="C137" s="114" t="str" cm="1">
        <f t="array" ref="C137">IFERROR(INDEX('03.Muestra'!$F$8:$F$42,SMALL(IF("Página Web"='03.Muestra'!$D$8:$D$42,ROW('03.Muestra'!$F$8:$F$42)-MIN(ROW('03.Muestra'!$D$8:$D$42))+1,""),ROW()-132)),"")</f>
        <v>http://www.madrid.org/presupuestos/index.php/accesibilidad-web</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ref="D138:D167" si="7">IF(AND(B138&lt;&gt;"",C138&lt;&gt;""),"N/T","")</f>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http://www.madrid.org/presupuestos</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Menu 1</v>
      </c>
      <c r="C172" s="114" t="str" cm="1">
        <f t="array" ref="C172">IFERROR(INDEX('03.Muestra'!$F$8:$F$42,SMALL(IF("Página Web"='03.Muestra'!$D$8:$D$42,ROW('03.Muestra'!$F$8:$F$42)-MIN(ROW('03.Muestra'!$D$8:$D$42))+1,""),ROW()-170)),"")</f>
        <v>http://www.madrid.org/presupuestos/index.php/presupuestos-generales/presupuestos-cm/2022</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5</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Menu 2</v>
      </c>
      <c r="C173" s="114" t="str" cm="1">
        <f t="array" ref="C173">IFERROR(INDEX('03.Muestra'!$F$8:$F$42,SMALL(IF("Página Web"='03.Muestra'!$D$8:$D$42,ROW('03.Muestra'!$F$8:$F$42)-MIN(ROW('03.Muestra'!$D$8:$D$42))+1,""),ROW()-170)),"")</f>
        <v>http://www.madrid.org/presupuestos/index.php/ejecucion-presupuestaria</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Menu 3</v>
      </c>
      <c r="C174" s="114" t="str" cm="1">
        <f t="array" ref="C174">IFERROR(INDEX('03.Muestra'!$F$8:$F$42,SMALL(IF("Página Web"='03.Muestra'!$D$8:$D$42,ROW('03.Muestra'!$F$8:$F$42)-MIN(ROW('03.Muestra'!$D$8:$D$42))+1,""),ROW()-170)),"")</f>
        <v>http://www.madrid.org/presupuestos/index.php/transparencia</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Accesibilidad</v>
      </c>
      <c r="C175" s="114" t="str" cm="1">
        <f t="array" ref="C175">IFERROR(INDEX('03.Muestra'!$F$8:$F$42,SMALL(IF("Página Web"='03.Muestra'!$D$8:$D$42,ROW('03.Muestra'!$F$8:$F$42)-MIN(ROW('03.Muestra'!$D$8:$D$42))+1,""),ROW()-170)),"")</f>
        <v>http://www.madrid.org/presupuestos/index.php/accesibilidad-web</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ref="D176:D205" si="9">IF(AND(B176&lt;&gt;"",C176&lt;&gt;""),"N/T","")</f>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http://www.madrid.org/presupuestos</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Menu 1</v>
      </c>
      <c r="C210" s="114" t="str" cm="1">
        <f t="array" ref="C210">IFERROR(INDEX('03.Muestra'!$F$8:$F$42,SMALL(IF("Página Web"='03.Muestra'!$D$8:$D$42,ROW('03.Muestra'!$F$8:$F$42)-MIN(ROW('03.Muestra'!$D$8:$D$42))+1,""),ROW()-208)),"")</f>
        <v>http://www.madrid.org/presupuestos/index.php/presupuestos-generales/presupuestos-cm/2022</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5</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Menu 2</v>
      </c>
      <c r="C211" s="114" t="str" cm="1">
        <f t="array" ref="C211">IFERROR(INDEX('03.Muestra'!$F$8:$F$42,SMALL(IF("Página Web"='03.Muestra'!$D$8:$D$42,ROW('03.Muestra'!$F$8:$F$42)-MIN(ROW('03.Muestra'!$D$8:$D$42))+1,""),ROW()-208)),"")</f>
        <v>http://www.madrid.org/presupuestos/index.php/ejecucion-presupuestaria</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Menu 3</v>
      </c>
      <c r="C212" s="114" t="str" cm="1">
        <f t="array" ref="C212">IFERROR(INDEX('03.Muestra'!$F$8:$F$42,SMALL(IF("Página Web"='03.Muestra'!$D$8:$D$42,ROW('03.Muestra'!$F$8:$F$42)-MIN(ROW('03.Muestra'!$D$8:$D$42))+1,""),ROW()-208)),"")</f>
        <v>http://www.madrid.org/presupuestos/index.php/transparencia</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Accesibilidad</v>
      </c>
      <c r="C213" s="114" t="str" cm="1">
        <f t="array" ref="C213">IFERROR(INDEX('03.Muestra'!$F$8:$F$42,SMALL(IF("Página Web"='03.Muestra'!$D$8:$D$42,ROW('03.Muestra'!$F$8:$F$42)-MIN(ROW('03.Muestra'!$D$8:$D$42))+1,""),ROW()-208)),"")</f>
        <v>http://www.madrid.org/presupuestos/index.php/accesibilidad-web</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t="str">
        <f t="shared" ref="D214:D243" si="11">IF(AND(B214&lt;&gt;"",C214&lt;&gt;""),"N/T","")</f>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http://www.madrid.org/presupuestos</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Menu 1</v>
      </c>
      <c r="C248" s="114" t="str" cm="1">
        <f t="array" ref="C248">IFERROR(INDEX('03.Muestra'!$F$8:$F$42,SMALL(IF("Página Web"='03.Muestra'!$D$8:$D$42,ROW('03.Muestra'!$F$8:$F$42)-MIN(ROW('03.Muestra'!$D$8:$D$42))+1,""),ROW()-246)),"")</f>
        <v>http://www.madrid.org/presupuestos/index.php/presupuestos-generales/presupuestos-cm/2022</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5</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Menu 2</v>
      </c>
      <c r="C249" s="114" t="str" cm="1">
        <f t="array" ref="C249">IFERROR(INDEX('03.Muestra'!$F$8:$F$42,SMALL(IF("Página Web"='03.Muestra'!$D$8:$D$42,ROW('03.Muestra'!$F$8:$F$42)-MIN(ROW('03.Muestra'!$D$8:$D$42))+1,""),ROW()-246)),"")</f>
        <v>http://www.madrid.org/presupuestos/index.php/ejecucion-presupuestaria</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Menu 3</v>
      </c>
      <c r="C250" s="114" t="str" cm="1">
        <f t="array" ref="C250">IFERROR(INDEX('03.Muestra'!$F$8:$F$42,SMALL(IF("Página Web"='03.Muestra'!$D$8:$D$42,ROW('03.Muestra'!$F$8:$F$42)-MIN(ROW('03.Muestra'!$D$8:$D$42))+1,""),ROW()-246)),"")</f>
        <v>http://www.madrid.org/presupuestos/index.php/transparencia</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Accesibilidad</v>
      </c>
      <c r="C251" s="114" t="str" cm="1">
        <f t="array" ref="C251">IFERROR(INDEX('03.Muestra'!$F$8:$F$42,SMALL(IF("Página Web"='03.Muestra'!$D$8:$D$42,ROW('03.Muestra'!$F$8:$F$42)-MIN(ROW('03.Muestra'!$D$8:$D$42))+1,""),ROW()-246)),"")</f>
        <v>http://www.madrid.org/presupuestos/index.php/accesibilidad-web</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IFERROR(INDEX('03.Muestra'!$B$8:$B$42,SMALL(IF("Página Web"='03.Muestra'!$D$8:$D$42,ROW('03.Muestra'!$B$8:$B$42)-MIN(ROW('03.Muestra'!$D$8:$D$42))+1,""),ROW()-246)),"")</f>
        <v/>
      </c>
      <c r="B252" s="114" t="str" cm="1">
        <f t="array" ref="B252">IFERROR(INDEX('03.Muestra'!$C$8:$C$42,SMALL(IF("Página Web"='03.Muestra'!$D$8:$D$42,ROW('03.Muestra'!$C$8:$C$42)-MIN(ROW('03.Muestra'!$D$8:$D$42))+1,""),ROW()-246)),"")</f>
        <v/>
      </c>
      <c r="C252" s="114" t="str" cm="1">
        <f t="array" ref="C252">IFERROR(INDEX('03.Muestra'!$F$8:$F$42,SMALL(IF("Página Web"='03.Muestra'!$D$8:$D$42,ROW('03.Muestra'!$F$8:$F$42)-MIN(ROW('03.Muestra'!$D$8:$D$42))+1,""),ROW()-246)),"")</f>
        <v/>
      </c>
      <c r="D252" s="130" t="str">
        <f t="shared" ref="D252:D281" si="13">IF(AND(B252&lt;&gt;"",C252&lt;&gt;""),"N/T","")</f>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IFERROR(INDEX('03.Muestra'!$B$8:$B$42,SMALL(IF("Página Web"='03.Muestra'!$D$8:$D$42,ROW('03.Muestra'!$B$8:$B$42)-MIN(ROW('03.Muestra'!$D$8:$D$42))+1,""),ROW()-246)),"")</f>
        <v/>
      </c>
      <c r="B253" s="114" t="str" cm="1">
        <f t="array" ref="B253">IFERROR(INDEX('03.Muestra'!$C$8:$C$42,SMALL(IF("Página Web"='03.Muestra'!$D$8:$D$42,ROW('03.Muestra'!$C$8:$C$42)-MIN(ROW('03.Muestra'!$D$8:$D$42))+1,""),ROW()-246)),"")</f>
        <v/>
      </c>
      <c r="C253" s="114" t="str" cm="1">
        <f t="array" ref="C253">IFERROR(INDEX('03.Muestra'!$F$8:$F$42,SMALL(IF("Página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IFERROR(INDEX('03.Muestra'!$B$8:$B$42,SMALL(IF("Página Web"='03.Muestra'!$D$8:$D$42,ROW('03.Muestra'!$B$8:$B$42)-MIN(ROW('03.Muestra'!$D$8:$D$42))+1,""),ROW()-246)),"")</f>
        <v/>
      </c>
      <c r="B254" s="114" t="str" cm="1">
        <f t="array" ref="B254">IFERROR(INDEX('03.Muestra'!$C$8:$C$42,SMALL(IF("Página Web"='03.Muestra'!$D$8:$D$42,ROW('03.Muestra'!$C$8:$C$42)-MIN(ROW('03.Muestra'!$D$8:$D$42))+1,""),ROW()-246)),"")</f>
        <v/>
      </c>
      <c r="C254" s="114" t="str" cm="1">
        <f t="array" ref="C254">IFERROR(INDEX('03.Muestra'!$F$8:$F$42,SMALL(IF("Página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IFERROR(INDEX('03.Muestra'!$B$8:$B$42,SMALL(IF("Página Web"='03.Muestra'!$D$8:$D$42,ROW('03.Muestra'!$B$8:$B$42)-MIN(ROW('03.Muestra'!$D$8:$D$42))+1,""),ROW()-246)),"")</f>
        <v/>
      </c>
      <c r="B255" s="114" t="str" cm="1">
        <f t="array" ref="B255">IFERROR(INDEX('03.Muestra'!$C$8:$C$42,SMALL(IF("Página Web"='03.Muestra'!$D$8:$D$42,ROW('03.Muestra'!$C$8:$C$42)-MIN(ROW('03.Muestra'!$D$8:$D$42))+1,""),ROW()-246)),"")</f>
        <v/>
      </c>
      <c r="C255" s="114" t="str" cm="1">
        <f t="array" ref="C255">IFERROR(INDEX('03.Muestra'!$F$8:$F$42,SMALL(IF("Página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IFERROR(INDEX('03.Muestra'!$B$8:$B$42,SMALL(IF("Página Web"='03.Muestra'!$D$8:$D$42,ROW('03.Muestra'!$B$8:$B$42)-MIN(ROW('03.Muestra'!$D$8:$D$42))+1,""),ROW()-246)),"")</f>
        <v/>
      </c>
      <c r="B256" s="114" t="str" cm="1">
        <f t="array" ref="B256">IFERROR(INDEX('03.Muestra'!$C$8:$C$42,SMALL(IF("Página Web"='03.Muestra'!$D$8:$D$42,ROW('03.Muestra'!$C$8:$C$42)-MIN(ROW('03.Muestra'!$D$8:$D$42))+1,""),ROW()-246)),"")</f>
        <v/>
      </c>
      <c r="C256" s="114" t="str" cm="1">
        <f t="array" ref="C256">IFERROR(INDEX('03.Muestra'!$F$8:$F$42,SMALL(IF("Página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http://www.madrid.org/presupuestos</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Menu 1</v>
      </c>
      <c r="C286" s="114" t="str" cm="1">
        <f t="array" ref="C286">IFERROR(INDEX('03.Muestra'!$F$8:$F$42,SMALL(IF("Página Web"='03.Muestra'!$D$8:$D$42,ROW('03.Muestra'!$F$8:$F$42)-MIN(ROW('03.Muestra'!$D$8:$D$42))+1,""),ROW()-284)),"")</f>
        <v>http://www.madrid.org/presupuestos/index.php/presupuestos-generales/presupuestos-cm/2022</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5</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Menu 2</v>
      </c>
      <c r="C287" s="114" t="str" cm="1">
        <f t="array" ref="C287">IFERROR(INDEX('03.Muestra'!$F$8:$F$42,SMALL(IF("Página Web"='03.Muestra'!$D$8:$D$42,ROW('03.Muestra'!$F$8:$F$42)-MIN(ROW('03.Muestra'!$D$8:$D$42))+1,""),ROW()-284)),"")</f>
        <v>http://www.madrid.org/presupuestos/index.php/ejecucion-presupuestaria</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Menu 3</v>
      </c>
      <c r="C288" s="114" t="str" cm="1">
        <f t="array" ref="C288">IFERROR(INDEX('03.Muestra'!$F$8:$F$42,SMALL(IF("Página Web"='03.Muestra'!$D$8:$D$42,ROW('03.Muestra'!$F$8:$F$42)-MIN(ROW('03.Muestra'!$D$8:$D$42))+1,""),ROW()-284)),"")</f>
        <v>http://www.madrid.org/presupuestos/index.php/transparencia</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Accesibilidad</v>
      </c>
      <c r="C289" s="114" t="str" cm="1">
        <f t="array" ref="C289">IFERROR(INDEX('03.Muestra'!$F$8:$F$42,SMALL(IF("Página Web"='03.Muestra'!$D$8:$D$42,ROW('03.Muestra'!$F$8:$F$42)-MIN(ROW('03.Muestra'!$D$8:$D$42))+1,""),ROW()-284)),"")</f>
        <v>http://www.madrid.org/presupuestos/index.php/accesibilidad-web</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IFERROR(INDEX('03.Muestra'!$B$8:$B$42,SMALL(IF("Página Web"='03.Muestra'!$D$8:$D$42,ROW('03.Muestra'!$B$8:$B$42)-MIN(ROW('03.Muestra'!$D$8:$D$42))+1,""),ROW()-284)),"")</f>
        <v/>
      </c>
      <c r="B290" s="114" t="str" cm="1">
        <f t="array" ref="B290">IFERROR(INDEX('03.Muestra'!$C$8:$C$42,SMALL(IF("Página Web"='03.Muestra'!$D$8:$D$42,ROW('03.Muestra'!$C$8:$C$42)-MIN(ROW('03.Muestra'!$D$8:$D$42))+1,""),ROW()-284)),"")</f>
        <v/>
      </c>
      <c r="C290" s="114" t="str" cm="1">
        <f t="array" ref="C290">IFERROR(INDEX('03.Muestra'!$F$8:$F$42,SMALL(IF("Página Web"='03.Muestra'!$D$8:$D$42,ROW('03.Muestra'!$F$8:$F$42)-MIN(ROW('03.Muestra'!$D$8:$D$42))+1,""),ROW()-284)),"")</f>
        <v/>
      </c>
      <c r="D290" s="130" t="str">
        <f t="shared" ref="D290:D319" si="15">IF(AND(B290&lt;&gt;"",C290&lt;&gt;""),"N/T","")</f>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IFERROR(INDEX('03.Muestra'!$B$8:$B$42,SMALL(IF("Página Web"='03.Muestra'!$D$8:$D$42,ROW('03.Muestra'!$B$8:$B$42)-MIN(ROW('03.Muestra'!$D$8:$D$42))+1,""),ROW()-284)),"")</f>
        <v/>
      </c>
      <c r="B291" s="114" t="str" cm="1">
        <f t="array" ref="B291">IFERROR(INDEX('03.Muestra'!$C$8:$C$42,SMALL(IF("Página Web"='03.Muestra'!$D$8:$D$42,ROW('03.Muestra'!$C$8:$C$42)-MIN(ROW('03.Muestra'!$D$8:$D$42))+1,""),ROW()-284)),"")</f>
        <v/>
      </c>
      <c r="C291" s="114" t="str" cm="1">
        <f t="array" ref="C291">IFERROR(INDEX('03.Muestra'!$F$8:$F$42,SMALL(IF("Página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IFERROR(INDEX('03.Muestra'!$B$8:$B$42,SMALL(IF("Página Web"='03.Muestra'!$D$8:$D$42,ROW('03.Muestra'!$B$8:$B$42)-MIN(ROW('03.Muestra'!$D$8:$D$42))+1,""),ROW()-284)),"")</f>
        <v/>
      </c>
      <c r="B292" s="114" t="str" cm="1">
        <f t="array" ref="B292">IFERROR(INDEX('03.Muestra'!$C$8:$C$42,SMALL(IF("Página Web"='03.Muestra'!$D$8:$D$42,ROW('03.Muestra'!$C$8:$C$42)-MIN(ROW('03.Muestra'!$D$8:$D$42))+1,""),ROW()-284)),"")</f>
        <v/>
      </c>
      <c r="C292" s="114" t="str" cm="1">
        <f t="array" ref="C292">IFERROR(INDEX('03.Muestra'!$F$8:$F$42,SMALL(IF("Página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IFERROR(INDEX('03.Muestra'!$B$8:$B$42,SMALL(IF("Página Web"='03.Muestra'!$D$8:$D$42,ROW('03.Muestra'!$B$8:$B$42)-MIN(ROW('03.Muestra'!$D$8:$D$42))+1,""),ROW()-284)),"")</f>
        <v/>
      </c>
      <c r="B293" s="114" t="str" cm="1">
        <f t="array" ref="B293">IFERROR(INDEX('03.Muestra'!$C$8:$C$42,SMALL(IF("Página Web"='03.Muestra'!$D$8:$D$42,ROW('03.Muestra'!$C$8:$C$42)-MIN(ROW('03.Muestra'!$D$8:$D$42))+1,""),ROW()-284)),"")</f>
        <v/>
      </c>
      <c r="C293" s="114" t="str" cm="1">
        <f t="array" ref="C293">IFERROR(INDEX('03.Muestra'!$F$8:$F$42,SMALL(IF("Página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IFERROR(INDEX('03.Muestra'!$B$8:$B$42,SMALL(IF("Página Web"='03.Muestra'!$D$8:$D$42,ROW('03.Muestra'!$B$8:$B$42)-MIN(ROW('03.Muestra'!$D$8:$D$42))+1,""),ROW()-284)),"")</f>
        <v/>
      </c>
      <c r="B294" s="114" t="str" cm="1">
        <f t="array" ref="B294">IFERROR(INDEX('03.Muestra'!$C$8:$C$42,SMALL(IF("Página Web"='03.Muestra'!$D$8:$D$42,ROW('03.Muestra'!$C$8:$C$42)-MIN(ROW('03.Muestra'!$D$8:$D$42))+1,""),ROW()-284)),"")</f>
        <v/>
      </c>
      <c r="C294" s="114" t="str" cm="1">
        <f t="array" ref="C294">IFERROR(INDEX('03.Muestra'!$F$8:$F$42,SMALL(IF("Página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http://www.madrid.org/presupuestos</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Menu 1</v>
      </c>
      <c r="C324" s="114" t="str" cm="1">
        <f t="array" ref="C324">IFERROR(INDEX('03.Muestra'!$F$8:$F$42,SMALL(IF("Página Web"='03.Muestra'!$D$8:$D$42,ROW('03.Muestra'!$F$8:$F$42)-MIN(ROW('03.Muestra'!$D$8:$D$42))+1,""),ROW()-322)),"")</f>
        <v>http://www.madrid.org/presupuestos/index.php/presupuestos-generales/presupuestos-cm/2022</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5</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Menu 2</v>
      </c>
      <c r="C325" s="114" t="str" cm="1">
        <f t="array" ref="C325">IFERROR(INDEX('03.Muestra'!$F$8:$F$42,SMALL(IF("Página Web"='03.Muestra'!$D$8:$D$42,ROW('03.Muestra'!$F$8:$F$42)-MIN(ROW('03.Muestra'!$D$8:$D$42))+1,""),ROW()-322)),"")</f>
        <v>http://www.madrid.org/presupuestos/index.php/ejecucion-presupuestaria</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Menu 3</v>
      </c>
      <c r="C326" s="114" t="str" cm="1">
        <f t="array" ref="C326">IFERROR(INDEX('03.Muestra'!$F$8:$F$42,SMALL(IF("Página Web"='03.Muestra'!$D$8:$D$42,ROW('03.Muestra'!$F$8:$F$42)-MIN(ROW('03.Muestra'!$D$8:$D$42))+1,""),ROW()-322)),"")</f>
        <v>http://www.madrid.org/presupuestos/index.php/transparencia</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Accesibilidad</v>
      </c>
      <c r="C327" s="114" t="str" cm="1">
        <f t="array" ref="C327">IFERROR(INDEX('03.Muestra'!$F$8:$F$42,SMALL(IF("Página Web"='03.Muestra'!$D$8:$D$42,ROW('03.Muestra'!$F$8:$F$42)-MIN(ROW('03.Muestra'!$D$8:$D$42))+1,""),ROW()-322)),"")</f>
        <v>http://www.madrid.org/presupuestos/index.php/accesibilidad-web</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IFERROR(INDEX('03.Muestra'!$B$8:$B$42,SMALL(IF("Página Web"='03.Muestra'!$D$8:$D$42,ROW('03.Muestra'!$B$8:$B$42)-MIN(ROW('03.Muestra'!$D$8:$D$42))+1,""),ROW()-322)),"")</f>
        <v/>
      </c>
      <c r="B328" s="114" t="str" cm="1">
        <f t="array" ref="B328">IFERROR(INDEX('03.Muestra'!$C$8:$C$42,SMALL(IF("Página Web"='03.Muestra'!$D$8:$D$42,ROW('03.Muestra'!$C$8:$C$42)-MIN(ROW('03.Muestra'!$D$8:$D$42))+1,""),ROW()-322)),"")</f>
        <v/>
      </c>
      <c r="C328" s="114" t="str" cm="1">
        <f t="array" ref="C328">IFERROR(INDEX('03.Muestra'!$F$8:$F$42,SMALL(IF("Página Web"='03.Muestra'!$D$8:$D$42,ROW('03.Muestra'!$F$8:$F$42)-MIN(ROW('03.Muestra'!$D$8:$D$42))+1,""),ROW()-322)),"")</f>
        <v/>
      </c>
      <c r="D328" s="130" t="str">
        <f t="shared" ref="D328:D357" si="17">IF(AND(B328&lt;&gt;"",C328&lt;&gt;""),"N/T","")</f>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IFERROR(INDEX('03.Muestra'!$B$8:$B$42,SMALL(IF("Página Web"='03.Muestra'!$D$8:$D$42,ROW('03.Muestra'!$B$8:$B$42)-MIN(ROW('03.Muestra'!$D$8:$D$42))+1,""),ROW()-322)),"")</f>
        <v/>
      </c>
      <c r="B329" s="114" t="str" cm="1">
        <f t="array" ref="B329">IFERROR(INDEX('03.Muestra'!$C$8:$C$42,SMALL(IF("Página Web"='03.Muestra'!$D$8:$D$42,ROW('03.Muestra'!$C$8:$C$42)-MIN(ROW('03.Muestra'!$D$8:$D$42))+1,""),ROW()-322)),"")</f>
        <v/>
      </c>
      <c r="C329" s="114" t="str" cm="1">
        <f t="array" ref="C329">IFERROR(INDEX('03.Muestra'!$F$8:$F$42,SMALL(IF("Página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IFERROR(INDEX('03.Muestra'!$B$8:$B$42,SMALL(IF("Página Web"='03.Muestra'!$D$8:$D$42,ROW('03.Muestra'!$B$8:$B$42)-MIN(ROW('03.Muestra'!$D$8:$D$42))+1,""),ROW()-322)),"")</f>
        <v/>
      </c>
      <c r="B330" s="114" t="str" cm="1">
        <f t="array" ref="B330">IFERROR(INDEX('03.Muestra'!$C$8:$C$42,SMALL(IF("Página Web"='03.Muestra'!$D$8:$D$42,ROW('03.Muestra'!$C$8:$C$42)-MIN(ROW('03.Muestra'!$D$8:$D$42))+1,""),ROW()-322)),"")</f>
        <v/>
      </c>
      <c r="C330" s="114" t="str" cm="1">
        <f t="array" ref="C330">IFERROR(INDEX('03.Muestra'!$F$8:$F$42,SMALL(IF("Página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IFERROR(INDEX('03.Muestra'!$B$8:$B$42,SMALL(IF("Página Web"='03.Muestra'!$D$8:$D$42,ROW('03.Muestra'!$B$8:$B$42)-MIN(ROW('03.Muestra'!$D$8:$D$42))+1,""),ROW()-322)),"")</f>
        <v/>
      </c>
      <c r="B331" s="114" t="str" cm="1">
        <f t="array" ref="B331">IFERROR(INDEX('03.Muestra'!$C$8:$C$42,SMALL(IF("Página Web"='03.Muestra'!$D$8:$D$42,ROW('03.Muestra'!$C$8:$C$42)-MIN(ROW('03.Muestra'!$D$8:$D$42))+1,""),ROW()-322)),"")</f>
        <v/>
      </c>
      <c r="C331" s="114" t="str" cm="1">
        <f t="array" ref="C331">IFERROR(INDEX('03.Muestra'!$F$8:$F$42,SMALL(IF("Página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IFERROR(INDEX('03.Muestra'!$B$8:$B$42,SMALL(IF("Página Web"='03.Muestra'!$D$8:$D$42,ROW('03.Muestra'!$B$8:$B$42)-MIN(ROW('03.Muestra'!$D$8:$D$42))+1,""),ROW()-322)),"")</f>
        <v/>
      </c>
      <c r="B332" s="114" t="str" cm="1">
        <f t="array" ref="B332">IFERROR(INDEX('03.Muestra'!$C$8:$C$42,SMALL(IF("Página Web"='03.Muestra'!$D$8:$D$42,ROW('03.Muestra'!$C$8:$C$42)-MIN(ROW('03.Muestra'!$D$8:$D$42))+1,""),ROW()-322)),"")</f>
        <v/>
      </c>
      <c r="C332" s="114" t="str" cm="1">
        <f t="array" ref="C332">IFERROR(INDEX('03.Muestra'!$F$8:$F$42,SMALL(IF("Página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365" priority="329" stopIfTrue="1" operator="equal">
      <formula>"ERR"</formula>
    </cfRule>
  </conditionalFormatting>
  <conditionalFormatting sqref="F19:J19 F57:J57 F95:J95 F209:J209 F247:J247 F285:J285 F323:J323 F133:J133 F171:J171">
    <cfRule type="expression" dxfId="1364" priority="323" stopIfTrue="1">
      <formula>ISBLANK(F19)</formula>
    </cfRule>
    <cfRule type="cellIs" dxfId="1363" priority="324" stopIfTrue="1" operator="equal">
      <formula>"Pasa"</formula>
    </cfRule>
    <cfRule type="cellIs" dxfId="1362" priority="325" stopIfTrue="1" operator="equal">
      <formula>"Falla"</formula>
    </cfRule>
    <cfRule type="cellIs" dxfId="1361" priority="326" stopIfTrue="1" operator="equal">
      <formula>"N/A"</formula>
    </cfRule>
    <cfRule type="cellIs" dxfId="1360" priority="327" stopIfTrue="1" operator="equal">
      <formula>"N/T"</formula>
    </cfRule>
    <cfRule type="cellIs" dxfId="1359" priority="328" stopIfTrue="1" operator="equal">
      <formula>"N/D"</formula>
    </cfRule>
  </conditionalFormatting>
  <conditionalFormatting sqref="D19:D21 D23:D53">
    <cfRule type="expression" dxfId="1358" priority="203" stopIfTrue="1">
      <formula>ISBLANK(D19)</formula>
    </cfRule>
    <cfRule type="cellIs" dxfId="1357" priority="204" stopIfTrue="1" operator="equal">
      <formula>"Pasa"</formula>
    </cfRule>
    <cfRule type="cellIs" dxfId="1356" priority="205" stopIfTrue="1" operator="equal">
      <formula>"Falla"</formula>
    </cfRule>
    <cfRule type="cellIs" dxfId="1355" priority="206" stopIfTrue="1" operator="equal">
      <formula>"N/A"</formula>
    </cfRule>
    <cfRule type="cellIs" dxfId="1354" priority="207" stopIfTrue="1" operator="equal">
      <formula>"N/T"</formula>
    </cfRule>
    <cfRule type="cellIs" dxfId="1353" priority="208" stopIfTrue="1" operator="equal">
      <formula>"N/D"</formula>
    </cfRule>
  </conditionalFormatting>
  <conditionalFormatting sqref="D19:D21 D23:D53">
    <cfRule type="cellIs" dxfId="1352" priority="202" stopIfTrue="1" operator="equal">
      <formula>"-"</formula>
    </cfRule>
  </conditionalFormatting>
  <conditionalFormatting sqref="D61:D91">
    <cfRule type="expression" dxfId="1351" priority="196" stopIfTrue="1">
      <formula>ISBLANK(D61)</formula>
    </cfRule>
    <cfRule type="cellIs" dxfId="1350" priority="197" stopIfTrue="1" operator="equal">
      <formula>"Pasa"</formula>
    </cfRule>
    <cfRule type="cellIs" dxfId="1349" priority="198" stopIfTrue="1" operator="equal">
      <formula>"Falla"</formula>
    </cfRule>
    <cfRule type="cellIs" dxfId="1348" priority="199" stopIfTrue="1" operator="equal">
      <formula>"N/A"</formula>
    </cfRule>
    <cfRule type="cellIs" dxfId="1347" priority="200" stopIfTrue="1" operator="equal">
      <formula>"N/T"</formula>
    </cfRule>
    <cfRule type="cellIs" dxfId="1346" priority="201" stopIfTrue="1" operator="equal">
      <formula>"N/D"</formula>
    </cfRule>
  </conditionalFormatting>
  <conditionalFormatting sqref="D61:D91">
    <cfRule type="cellIs" dxfId="1345" priority="195" stopIfTrue="1" operator="equal">
      <formula>"-"</formula>
    </cfRule>
  </conditionalFormatting>
  <conditionalFormatting sqref="D99:D129">
    <cfRule type="expression" dxfId="1344" priority="189" stopIfTrue="1">
      <formula>ISBLANK(D99)</formula>
    </cfRule>
    <cfRule type="cellIs" dxfId="1343" priority="190" stopIfTrue="1" operator="equal">
      <formula>"Pasa"</formula>
    </cfRule>
    <cfRule type="cellIs" dxfId="1342" priority="191" stopIfTrue="1" operator="equal">
      <formula>"Falla"</formula>
    </cfRule>
    <cfRule type="cellIs" dxfId="1341" priority="192" stopIfTrue="1" operator="equal">
      <formula>"N/A"</formula>
    </cfRule>
    <cfRule type="cellIs" dxfId="1340" priority="193" stopIfTrue="1" operator="equal">
      <formula>"N/T"</formula>
    </cfRule>
    <cfRule type="cellIs" dxfId="1339" priority="194" stopIfTrue="1" operator="equal">
      <formula>"N/D"</formula>
    </cfRule>
  </conditionalFormatting>
  <conditionalFormatting sqref="D99:D129">
    <cfRule type="cellIs" dxfId="1338" priority="188" stopIfTrue="1" operator="equal">
      <formula>"-"</formula>
    </cfRule>
  </conditionalFormatting>
  <conditionalFormatting sqref="D213:D243">
    <cfRule type="expression" dxfId="1337" priority="182" stopIfTrue="1">
      <formula>ISBLANK(D213)</formula>
    </cfRule>
    <cfRule type="cellIs" dxfId="1336" priority="183" stopIfTrue="1" operator="equal">
      <formula>"Pasa"</formula>
    </cfRule>
    <cfRule type="cellIs" dxfId="1335" priority="184" stopIfTrue="1" operator="equal">
      <formula>"Falla"</formula>
    </cfRule>
    <cfRule type="cellIs" dxfId="1334" priority="185" stopIfTrue="1" operator="equal">
      <formula>"N/A"</formula>
    </cfRule>
    <cfRule type="cellIs" dxfId="1333" priority="186" stopIfTrue="1" operator="equal">
      <formula>"N/T"</formula>
    </cfRule>
    <cfRule type="cellIs" dxfId="1332" priority="187" stopIfTrue="1" operator="equal">
      <formula>"N/D"</formula>
    </cfRule>
  </conditionalFormatting>
  <conditionalFormatting sqref="D213:D243">
    <cfRule type="cellIs" dxfId="1331" priority="181" stopIfTrue="1" operator="equal">
      <formula>"-"</formula>
    </cfRule>
  </conditionalFormatting>
  <conditionalFormatting sqref="D251:D281">
    <cfRule type="expression" dxfId="1330" priority="175" stopIfTrue="1">
      <formula>ISBLANK(D251)</formula>
    </cfRule>
    <cfRule type="cellIs" dxfId="1329" priority="176" stopIfTrue="1" operator="equal">
      <formula>"Pasa"</formula>
    </cfRule>
    <cfRule type="cellIs" dxfId="1328" priority="177" stopIfTrue="1" operator="equal">
      <formula>"Falla"</formula>
    </cfRule>
    <cfRule type="cellIs" dxfId="1327" priority="178" stopIfTrue="1" operator="equal">
      <formula>"N/A"</formula>
    </cfRule>
    <cfRule type="cellIs" dxfId="1326" priority="179" stopIfTrue="1" operator="equal">
      <formula>"N/T"</formula>
    </cfRule>
    <cfRule type="cellIs" dxfId="1325" priority="180" stopIfTrue="1" operator="equal">
      <formula>"N/D"</formula>
    </cfRule>
  </conditionalFormatting>
  <conditionalFormatting sqref="D251:D281">
    <cfRule type="cellIs" dxfId="1324" priority="174" stopIfTrue="1" operator="equal">
      <formula>"-"</formula>
    </cfRule>
  </conditionalFormatting>
  <conditionalFormatting sqref="D289:D319">
    <cfRule type="expression" dxfId="1323" priority="168" stopIfTrue="1">
      <formula>ISBLANK(D289)</formula>
    </cfRule>
    <cfRule type="cellIs" dxfId="1322" priority="169" stopIfTrue="1" operator="equal">
      <formula>"Pasa"</formula>
    </cfRule>
    <cfRule type="cellIs" dxfId="1321" priority="170" stopIfTrue="1" operator="equal">
      <formula>"Falla"</formula>
    </cfRule>
    <cfRule type="cellIs" dxfId="1320" priority="171" stopIfTrue="1" operator="equal">
      <formula>"N/A"</formula>
    </cfRule>
    <cfRule type="cellIs" dxfId="1319" priority="172" stopIfTrue="1" operator="equal">
      <formula>"N/T"</formula>
    </cfRule>
    <cfRule type="cellIs" dxfId="1318" priority="173" stopIfTrue="1" operator="equal">
      <formula>"N/D"</formula>
    </cfRule>
  </conditionalFormatting>
  <conditionalFormatting sqref="D289:D319">
    <cfRule type="cellIs" dxfId="1317" priority="167" stopIfTrue="1" operator="equal">
      <formula>"-"</formula>
    </cfRule>
  </conditionalFormatting>
  <conditionalFormatting sqref="D327:D357">
    <cfRule type="expression" dxfId="1316" priority="161" stopIfTrue="1">
      <formula>ISBLANK(D327)</formula>
    </cfRule>
    <cfRule type="cellIs" dxfId="1315" priority="162" stopIfTrue="1" operator="equal">
      <formula>"Pasa"</formula>
    </cfRule>
    <cfRule type="cellIs" dxfId="1314" priority="163" stopIfTrue="1" operator="equal">
      <formula>"Falla"</formula>
    </cfRule>
    <cfRule type="cellIs" dxfId="1313" priority="164" stopIfTrue="1" operator="equal">
      <formula>"N/A"</formula>
    </cfRule>
    <cfRule type="cellIs" dxfId="1312" priority="165" stopIfTrue="1" operator="equal">
      <formula>"N/T"</formula>
    </cfRule>
    <cfRule type="cellIs" dxfId="1311" priority="166" stopIfTrue="1" operator="equal">
      <formula>"N/D"</formula>
    </cfRule>
  </conditionalFormatting>
  <conditionalFormatting sqref="D327:D357">
    <cfRule type="cellIs" dxfId="1310" priority="160" stopIfTrue="1" operator="equal">
      <formula>"-"</formula>
    </cfRule>
  </conditionalFormatting>
  <conditionalFormatting sqref="E133:E167">
    <cfRule type="cellIs" dxfId="1309" priority="159" stopIfTrue="1" operator="equal">
      <formula>"ERR"</formula>
    </cfRule>
  </conditionalFormatting>
  <conditionalFormatting sqref="D137:D167">
    <cfRule type="expression" dxfId="1308" priority="147" stopIfTrue="1">
      <formula>ISBLANK(D137)</formula>
    </cfRule>
    <cfRule type="cellIs" dxfId="1307" priority="148" stopIfTrue="1" operator="equal">
      <formula>"Pasa"</formula>
    </cfRule>
    <cfRule type="cellIs" dxfId="1306" priority="149" stopIfTrue="1" operator="equal">
      <formula>"Falla"</formula>
    </cfRule>
    <cfRule type="cellIs" dxfId="1305" priority="150" stopIfTrue="1" operator="equal">
      <formula>"N/A"</formula>
    </cfRule>
    <cfRule type="cellIs" dxfId="1304" priority="151" stopIfTrue="1" operator="equal">
      <formula>"N/T"</formula>
    </cfRule>
    <cfRule type="cellIs" dxfId="1303" priority="152" stopIfTrue="1" operator="equal">
      <formula>"N/D"</formula>
    </cfRule>
  </conditionalFormatting>
  <conditionalFormatting sqref="D137:D167">
    <cfRule type="cellIs" dxfId="1302" priority="146" stopIfTrue="1" operator="equal">
      <formula>"-"</formula>
    </cfRule>
  </conditionalFormatting>
  <conditionalFormatting sqref="E171:E205">
    <cfRule type="cellIs" dxfId="1301" priority="145" stopIfTrue="1" operator="equal">
      <formula>"ERR"</formula>
    </cfRule>
  </conditionalFormatting>
  <conditionalFormatting sqref="D175:D205">
    <cfRule type="expression" dxfId="1300" priority="133" stopIfTrue="1">
      <formula>ISBLANK(D175)</formula>
    </cfRule>
    <cfRule type="cellIs" dxfId="1299" priority="134" stopIfTrue="1" operator="equal">
      <formula>"Pasa"</formula>
    </cfRule>
    <cfRule type="cellIs" dxfId="1298" priority="135" stopIfTrue="1" operator="equal">
      <formula>"Falla"</formula>
    </cfRule>
    <cfRule type="cellIs" dxfId="1297" priority="136" stopIfTrue="1" operator="equal">
      <formula>"N/A"</formula>
    </cfRule>
    <cfRule type="cellIs" dxfId="1296" priority="137" stopIfTrue="1" operator="equal">
      <formula>"N/T"</formula>
    </cfRule>
    <cfRule type="cellIs" dxfId="1295" priority="138" stopIfTrue="1" operator="equal">
      <formula>"N/D"</formula>
    </cfRule>
  </conditionalFormatting>
  <conditionalFormatting sqref="D175:D205">
    <cfRule type="cellIs" dxfId="1294" priority="132" stopIfTrue="1" operator="equal">
      <formula>"-"</formula>
    </cfRule>
  </conditionalFormatting>
  <conditionalFormatting sqref="K23">
    <cfRule type="expression" dxfId="1293" priority="126" stopIfTrue="1">
      <formula>ISBLANK(K23)</formula>
    </cfRule>
    <cfRule type="cellIs" dxfId="1292" priority="127" stopIfTrue="1" operator="equal">
      <formula>"Pasa"</formula>
    </cfRule>
    <cfRule type="cellIs" dxfId="1291" priority="128" stopIfTrue="1" operator="equal">
      <formula>"Falla"</formula>
    </cfRule>
    <cfRule type="cellIs" dxfId="1290" priority="129" stopIfTrue="1" operator="equal">
      <formula>"N/A"</formula>
    </cfRule>
    <cfRule type="cellIs" dxfId="1289" priority="130" stopIfTrue="1" operator="equal">
      <formula>"N/T"</formula>
    </cfRule>
    <cfRule type="cellIs" dxfId="1288" priority="131" stopIfTrue="1" operator="equal">
      <formula>"N/D"</formula>
    </cfRule>
  </conditionalFormatting>
  <conditionalFormatting sqref="K24">
    <cfRule type="expression" dxfId="1287" priority="120" stopIfTrue="1">
      <formula>ISBLANK(K24)</formula>
    </cfRule>
    <cfRule type="cellIs" dxfId="1286" priority="121" stopIfTrue="1" operator="equal">
      <formula>"Pasa"</formula>
    </cfRule>
    <cfRule type="cellIs" dxfId="1285" priority="122" stopIfTrue="1" operator="equal">
      <formula>"Falla"</formula>
    </cfRule>
    <cfRule type="cellIs" dxfId="1284" priority="123" stopIfTrue="1" operator="equal">
      <formula>"N/A"</formula>
    </cfRule>
    <cfRule type="cellIs" dxfId="1283" priority="124" stopIfTrue="1" operator="equal">
      <formula>"N/T"</formula>
    </cfRule>
    <cfRule type="cellIs" dxfId="1282" priority="125" stopIfTrue="1" operator="equal">
      <formula>"N/D"</formula>
    </cfRule>
  </conditionalFormatting>
  <conditionalFormatting sqref="D57:D59">
    <cfRule type="expression" dxfId="1281" priority="114" stopIfTrue="1">
      <formula>ISBLANK(D57)</formula>
    </cfRule>
    <cfRule type="cellIs" dxfId="1280" priority="115" stopIfTrue="1" operator="equal">
      <formula>"Pasa"</formula>
    </cfRule>
    <cfRule type="cellIs" dxfId="1279" priority="116" stopIfTrue="1" operator="equal">
      <formula>"Falla"</formula>
    </cfRule>
    <cfRule type="cellIs" dxfId="1278" priority="117" stopIfTrue="1" operator="equal">
      <formula>"N/A"</formula>
    </cfRule>
    <cfRule type="cellIs" dxfId="1277" priority="118" stopIfTrue="1" operator="equal">
      <formula>"N/T"</formula>
    </cfRule>
    <cfRule type="cellIs" dxfId="1276" priority="119" stopIfTrue="1" operator="equal">
      <formula>"N/D"</formula>
    </cfRule>
  </conditionalFormatting>
  <conditionalFormatting sqref="D57:D59">
    <cfRule type="cellIs" dxfId="1275" priority="113" stopIfTrue="1" operator="equal">
      <formula>"-"</formula>
    </cfRule>
  </conditionalFormatting>
  <conditionalFormatting sqref="D95:D97">
    <cfRule type="expression" dxfId="1274" priority="107" stopIfTrue="1">
      <formula>ISBLANK(D95)</formula>
    </cfRule>
    <cfRule type="cellIs" dxfId="1273" priority="108" stopIfTrue="1" operator="equal">
      <formula>"Pasa"</formula>
    </cfRule>
    <cfRule type="cellIs" dxfId="1272" priority="109" stopIfTrue="1" operator="equal">
      <formula>"Falla"</formula>
    </cfRule>
    <cfRule type="cellIs" dxfId="1271" priority="110" stopIfTrue="1" operator="equal">
      <formula>"N/A"</formula>
    </cfRule>
    <cfRule type="cellIs" dxfId="1270" priority="111" stopIfTrue="1" operator="equal">
      <formula>"N/T"</formula>
    </cfRule>
    <cfRule type="cellIs" dxfId="1269" priority="112" stopIfTrue="1" operator="equal">
      <formula>"N/D"</formula>
    </cfRule>
  </conditionalFormatting>
  <conditionalFormatting sqref="D95:D97">
    <cfRule type="cellIs" dxfId="1268" priority="106" stopIfTrue="1" operator="equal">
      <formula>"-"</formula>
    </cfRule>
  </conditionalFormatting>
  <conditionalFormatting sqref="D133:D135">
    <cfRule type="expression" dxfId="1267" priority="100" stopIfTrue="1">
      <formula>ISBLANK(D133)</formula>
    </cfRule>
    <cfRule type="cellIs" dxfId="1266" priority="101" stopIfTrue="1" operator="equal">
      <formula>"Pasa"</formula>
    </cfRule>
    <cfRule type="cellIs" dxfId="1265" priority="102" stopIfTrue="1" operator="equal">
      <formula>"Falla"</formula>
    </cfRule>
    <cfRule type="cellIs" dxfId="1264" priority="103" stopIfTrue="1" operator="equal">
      <formula>"N/A"</formula>
    </cfRule>
    <cfRule type="cellIs" dxfId="1263" priority="104" stopIfTrue="1" operator="equal">
      <formula>"N/T"</formula>
    </cfRule>
    <cfRule type="cellIs" dxfId="1262" priority="105" stopIfTrue="1" operator="equal">
      <formula>"N/D"</formula>
    </cfRule>
  </conditionalFormatting>
  <conditionalFormatting sqref="D133:D135">
    <cfRule type="cellIs" dxfId="1261" priority="99" stopIfTrue="1" operator="equal">
      <formula>"-"</formula>
    </cfRule>
  </conditionalFormatting>
  <conditionalFormatting sqref="D171:D173">
    <cfRule type="expression" dxfId="1260" priority="93" stopIfTrue="1">
      <formula>ISBLANK(D171)</formula>
    </cfRule>
    <cfRule type="cellIs" dxfId="1259" priority="94" stopIfTrue="1" operator="equal">
      <formula>"Pasa"</formula>
    </cfRule>
    <cfRule type="cellIs" dxfId="1258" priority="95" stopIfTrue="1" operator="equal">
      <formula>"Falla"</formula>
    </cfRule>
    <cfRule type="cellIs" dxfId="1257" priority="96" stopIfTrue="1" operator="equal">
      <formula>"N/A"</formula>
    </cfRule>
    <cfRule type="cellIs" dxfId="1256" priority="97" stopIfTrue="1" operator="equal">
      <formula>"N/T"</formula>
    </cfRule>
    <cfRule type="cellIs" dxfId="1255" priority="98" stopIfTrue="1" operator="equal">
      <formula>"N/D"</formula>
    </cfRule>
  </conditionalFormatting>
  <conditionalFormatting sqref="D171:D173">
    <cfRule type="cellIs" dxfId="1254" priority="92" stopIfTrue="1" operator="equal">
      <formula>"-"</formula>
    </cfRule>
  </conditionalFormatting>
  <conditionalFormatting sqref="D209:D211">
    <cfRule type="expression" dxfId="1253" priority="86" stopIfTrue="1">
      <formula>ISBLANK(D209)</formula>
    </cfRule>
    <cfRule type="cellIs" dxfId="1252" priority="87" stopIfTrue="1" operator="equal">
      <formula>"Pasa"</formula>
    </cfRule>
    <cfRule type="cellIs" dxfId="1251" priority="88" stopIfTrue="1" operator="equal">
      <formula>"Falla"</formula>
    </cfRule>
    <cfRule type="cellIs" dxfId="1250" priority="89" stopIfTrue="1" operator="equal">
      <formula>"N/A"</formula>
    </cfRule>
    <cfRule type="cellIs" dxfId="1249" priority="90" stopIfTrue="1" operator="equal">
      <formula>"N/T"</formula>
    </cfRule>
    <cfRule type="cellIs" dxfId="1248" priority="91" stopIfTrue="1" operator="equal">
      <formula>"N/D"</formula>
    </cfRule>
  </conditionalFormatting>
  <conditionalFormatting sqref="D209:D211">
    <cfRule type="cellIs" dxfId="1247" priority="85" stopIfTrue="1" operator="equal">
      <formula>"-"</formula>
    </cfRule>
  </conditionalFormatting>
  <conditionalFormatting sqref="D247:D249">
    <cfRule type="expression" dxfId="1246" priority="79" stopIfTrue="1">
      <formula>ISBLANK(D247)</formula>
    </cfRule>
    <cfRule type="cellIs" dxfId="1245" priority="80" stopIfTrue="1" operator="equal">
      <formula>"Pasa"</formula>
    </cfRule>
    <cfRule type="cellIs" dxfId="1244" priority="81" stopIfTrue="1" operator="equal">
      <formula>"Falla"</formula>
    </cfRule>
    <cfRule type="cellIs" dxfId="1243" priority="82" stopIfTrue="1" operator="equal">
      <formula>"N/A"</formula>
    </cfRule>
    <cfRule type="cellIs" dxfId="1242" priority="83" stopIfTrue="1" operator="equal">
      <formula>"N/T"</formula>
    </cfRule>
    <cfRule type="cellIs" dxfId="1241" priority="84" stopIfTrue="1" operator="equal">
      <formula>"N/D"</formula>
    </cfRule>
  </conditionalFormatting>
  <conditionalFormatting sqref="D247:D249">
    <cfRule type="cellIs" dxfId="1240" priority="78" stopIfTrue="1" operator="equal">
      <formula>"-"</formula>
    </cfRule>
  </conditionalFormatting>
  <conditionalFormatting sqref="D285:D287">
    <cfRule type="expression" dxfId="1239" priority="72" stopIfTrue="1">
      <formula>ISBLANK(D285)</formula>
    </cfRule>
    <cfRule type="cellIs" dxfId="1238" priority="73" stopIfTrue="1" operator="equal">
      <formula>"Pasa"</formula>
    </cfRule>
    <cfRule type="cellIs" dxfId="1237" priority="74" stopIfTrue="1" operator="equal">
      <formula>"Falla"</formula>
    </cfRule>
    <cfRule type="cellIs" dxfId="1236" priority="75" stopIfTrue="1" operator="equal">
      <formula>"N/A"</formula>
    </cfRule>
    <cfRule type="cellIs" dxfId="1235" priority="76" stopIfTrue="1" operator="equal">
      <formula>"N/T"</formula>
    </cfRule>
    <cfRule type="cellIs" dxfId="1234" priority="77" stopIfTrue="1" operator="equal">
      <formula>"N/D"</formula>
    </cfRule>
  </conditionalFormatting>
  <conditionalFormatting sqref="D285:D287">
    <cfRule type="cellIs" dxfId="1233" priority="71" stopIfTrue="1" operator="equal">
      <formula>"-"</formula>
    </cfRule>
  </conditionalFormatting>
  <conditionalFormatting sqref="D323:D325">
    <cfRule type="expression" dxfId="1232" priority="65" stopIfTrue="1">
      <formula>ISBLANK(D323)</formula>
    </cfRule>
    <cfRule type="cellIs" dxfId="1231" priority="66" stopIfTrue="1" operator="equal">
      <formula>"Pasa"</formula>
    </cfRule>
    <cfRule type="cellIs" dxfId="1230" priority="67" stopIfTrue="1" operator="equal">
      <formula>"Falla"</formula>
    </cfRule>
    <cfRule type="cellIs" dxfId="1229" priority="68" stopIfTrue="1" operator="equal">
      <formula>"N/A"</formula>
    </cfRule>
    <cfRule type="cellIs" dxfId="1228" priority="69" stopIfTrue="1" operator="equal">
      <formula>"N/T"</formula>
    </cfRule>
    <cfRule type="cellIs" dxfId="1227" priority="70" stopIfTrue="1" operator="equal">
      <formula>"N/D"</formula>
    </cfRule>
  </conditionalFormatting>
  <conditionalFormatting sqref="D323:D325">
    <cfRule type="cellIs" dxfId="1226" priority="64" stopIfTrue="1" operator="equal">
      <formula>"-"</formula>
    </cfRule>
  </conditionalFormatting>
  <conditionalFormatting sqref="D326">
    <cfRule type="expression" dxfId="1225" priority="58" stopIfTrue="1">
      <formula>ISBLANK(D326)</formula>
    </cfRule>
    <cfRule type="cellIs" dxfId="1224" priority="59" stopIfTrue="1" operator="equal">
      <formula>"Pasa"</formula>
    </cfRule>
    <cfRule type="cellIs" dxfId="1223" priority="60" stopIfTrue="1" operator="equal">
      <formula>"Falla"</formula>
    </cfRule>
    <cfRule type="cellIs" dxfId="1222" priority="61" stopIfTrue="1" operator="equal">
      <formula>"N/A"</formula>
    </cfRule>
    <cfRule type="cellIs" dxfId="1221" priority="62" stopIfTrue="1" operator="equal">
      <formula>"N/T"</formula>
    </cfRule>
    <cfRule type="cellIs" dxfId="1220" priority="63" stopIfTrue="1" operator="equal">
      <formula>"N/D"</formula>
    </cfRule>
  </conditionalFormatting>
  <conditionalFormatting sqref="D326">
    <cfRule type="cellIs" dxfId="1219" priority="57" stopIfTrue="1" operator="equal">
      <formula>"-"</formula>
    </cfRule>
  </conditionalFormatting>
  <conditionalFormatting sqref="D288">
    <cfRule type="expression" dxfId="1218" priority="51" stopIfTrue="1">
      <formula>ISBLANK(D288)</formula>
    </cfRule>
    <cfRule type="cellIs" dxfId="1217" priority="52" stopIfTrue="1" operator="equal">
      <formula>"Pasa"</formula>
    </cfRule>
    <cfRule type="cellIs" dxfId="1216" priority="53" stopIfTrue="1" operator="equal">
      <formula>"Falla"</formula>
    </cfRule>
    <cfRule type="cellIs" dxfId="1215" priority="54" stopIfTrue="1" operator="equal">
      <formula>"N/A"</formula>
    </cfRule>
    <cfRule type="cellIs" dxfId="1214" priority="55" stopIfTrue="1" operator="equal">
      <formula>"N/T"</formula>
    </cfRule>
    <cfRule type="cellIs" dxfId="1213" priority="56" stopIfTrue="1" operator="equal">
      <formula>"N/D"</formula>
    </cfRule>
  </conditionalFormatting>
  <conditionalFormatting sqref="D288">
    <cfRule type="cellIs" dxfId="1212" priority="50" stopIfTrue="1" operator="equal">
      <formula>"-"</formula>
    </cfRule>
  </conditionalFormatting>
  <conditionalFormatting sqref="D250">
    <cfRule type="expression" dxfId="1211" priority="44" stopIfTrue="1">
      <formula>ISBLANK(D250)</formula>
    </cfRule>
    <cfRule type="cellIs" dxfId="1210" priority="45" stopIfTrue="1" operator="equal">
      <formula>"Pasa"</formula>
    </cfRule>
    <cfRule type="cellIs" dxfId="1209" priority="46" stopIfTrue="1" operator="equal">
      <formula>"Falla"</formula>
    </cfRule>
    <cfRule type="cellIs" dxfId="1208" priority="47" stopIfTrue="1" operator="equal">
      <formula>"N/A"</formula>
    </cfRule>
    <cfRule type="cellIs" dxfId="1207" priority="48" stopIfTrue="1" operator="equal">
      <formula>"N/T"</formula>
    </cfRule>
    <cfRule type="cellIs" dxfId="1206" priority="49" stopIfTrue="1" operator="equal">
      <formula>"N/D"</formula>
    </cfRule>
  </conditionalFormatting>
  <conditionalFormatting sqref="D250">
    <cfRule type="cellIs" dxfId="1205" priority="43" stopIfTrue="1" operator="equal">
      <formula>"-"</formula>
    </cfRule>
  </conditionalFormatting>
  <conditionalFormatting sqref="D212">
    <cfRule type="expression" dxfId="1204" priority="37" stopIfTrue="1">
      <formula>ISBLANK(D212)</formula>
    </cfRule>
    <cfRule type="cellIs" dxfId="1203" priority="38" stopIfTrue="1" operator="equal">
      <formula>"Pasa"</formula>
    </cfRule>
    <cfRule type="cellIs" dxfId="1202" priority="39" stopIfTrue="1" operator="equal">
      <formula>"Falla"</formula>
    </cfRule>
    <cfRule type="cellIs" dxfId="1201" priority="40" stopIfTrue="1" operator="equal">
      <formula>"N/A"</formula>
    </cfRule>
    <cfRule type="cellIs" dxfId="1200" priority="41" stopIfTrue="1" operator="equal">
      <formula>"N/T"</formula>
    </cfRule>
    <cfRule type="cellIs" dxfId="1199" priority="42" stopIfTrue="1" operator="equal">
      <formula>"N/D"</formula>
    </cfRule>
  </conditionalFormatting>
  <conditionalFormatting sqref="D212">
    <cfRule type="cellIs" dxfId="1198" priority="36" stopIfTrue="1" operator="equal">
      <formula>"-"</formula>
    </cfRule>
  </conditionalFormatting>
  <conditionalFormatting sqref="D174">
    <cfRule type="expression" dxfId="1197" priority="30" stopIfTrue="1">
      <formula>ISBLANK(D174)</formula>
    </cfRule>
    <cfRule type="cellIs" dxfId="1196" priority="31" stopIfTrue="1" operator="equal">
      <formula>"Pasa"</formula>
    </cfRule>
    <cfRule type="cellIs" dxfId="1195" priority="32" stopIfTrue="1" operator="equal">
      <formula>"Falla"</formula>
    </cfRule>
    <cfRule type="cellIs" dxfId="1194" priority="33" stopIfTrue="1" operator="equal">
      <formula>"N/A"</formula>
    </cfRule>
    <cfRule type="cellIs" dxfId="1193" priority="34" stopIfTrue="1" operator="equal">
      <formula>"N/T"</formula>
    </cfRule>
    <cfRule type="cellIs" dxfId="1192" priority="35" stopIfTrue="1" operator="equal">
      <formula>"N/D"</formula>
    </cfRule>
  </conditionalFormatting>
  <conditionalFormatting sqref="D174">
    <cfRule type="cellIs" dxfId="1191" priority="29" stopIfTrue="1" operator="equal">
      <formula>"-"</formula>
    </cfRule>
  </conditionalFormatting>
  <conditionalFormatting sqref="D136">
    <cfRule type="expression" dxfId="1190" priority="23" stopIfTrue="1">
      <formula>ISBLANK(D136)</formula>
    </cfRule>
    <cfRule type="cellIs" dxfId="1189" priority="24" stopIfTrue="1" operator="equal">
      <formula>"Pasa"</formula>
    </cfRule>
    <cfRule type="cellIs" dxfId="1188" priority="25" stopIfTrue="1" operator="equal">
      <formula>"Falla"</formula>
    </cfRule>
    <cfRule type="cellIs" dxfId="1187" priority="26" stopIfTrue="1" operator="equal">
      <formula>"N/A"</formula>
    </cfRule>
    <cfRule type="cellIs" dxfId="1186" priority="27" stopIfTrue="1" operator="equal">
      <formula>"N/T"</formula>
    </cfRule>
    <cfRule type="cellIs" dxfId="1185" priority="28" stopIfTrue="1" operator="equal">
      <formula>"N/D"</formula>
    </cfRule>
  </conditionalFormatting>
  <conditionalFormatting sqref="D136">
    <cfRule type="cellIs" dxfId="1184" priority="22" stopIfTrue="1" operator="equal">
      <formula>"-"</formula>
    </cfRule>
  </conditionalFormatting>
  <conditionalFormatting sqref="D98">
    <cfRule type="expression" dxfId="1183" priority="16" stopIfTrue="1">
      <formula>ISBLANK(D98)</formula>
    </cfRule>
    <cfRule type="cellIs" dxfId="1182" priority="17" stopIfTrue="1" operator="equal">
      <formula>"Pasa"</formula>
    </cfRule>
    <cfRule type="cellIs" dxfId="1181" priority="18" stopIfTrue="1" operator="equal">
      <formula>"Falla"</formula>
    </cfRule>
    <cfRule type="cellIs" dxfId="1180" priority="19" stopIfTrue="1" operator="equal">
      <formula>"N/A"</formula>
    </cfRule>
    <cfRule type="cellIs" dxfId="1179" priority="20" stopIfTrue="1" operator="equal">
      <formula>"N/T"</formula>
    </cfRule>
    <cfRule type="cellIs" dxfId="1178" priority="21" stopIfTrue="1" operator="equal">
      <formula>"N/D"</formula>
    </cfRule>
  </conditionalFormatting>
  <conditionalFormatting sqref="D98">
    <cfRule type="cellIs" dxfId="1177" priority="15" stopIfTrue="1" operator="equal">
      <formula>"-"</formula>
    </cfRule>
  </conditionalFormatting>
  <conditionalFormatting sqref="D60">
    <cfRule type="expression" dxfId="1176" priority="9" stopIfTrue="1">
      <formula>ISBLANK(D60)</formula>
    </cfRule>
    <cfRule type="cellIs" dxfId="1175" priority="10" stopIfTrue="1" operator="equal">
      <formula>"Pasa"</formula>
    </cfRule>
    <cfRule type="cellIs" dxfId="1174" priority="11" stopIfTrue="1" operator="equal">
      <formula>"Falla"</formula>
    </cfRule>
    <cfRule type="cellIs" dxfId="1173" priority="12" stopIfTrue="1" operator="equal">
      <formula>"N/A"</formula>
    </cfRule>
    <cfRule type="cellIs" dxfId="1172" priority="13" stopIfTrue="1" operator="equal">
      <formula>"N/T"</formula>
    </cfRule>
    <cfRule type="cellIs" dxfId="1171" priority="14" stopIfTrue="1" operator="equal">
      <formula>"N/D"</formula>
    </cfRule>
  </conditionalFormatting>
  <conditionalFormatting sqref="D60">
    <cfRule type="cellIs" dxfId="1170" priority="8" stopIfTrue="1" operator="equal">
      <formula>"-"</formula>
    </cfRule>
  </conditionalFormatting>
  <conditionalFormatting sqref="D22">
    <cfRule type="expression" dxfId="1169" priority="2" stopIfTrue="1">
      <formula>ISBLANK(D22)</formula>
    </cfRule>
    <cfRule type="cellIs" dxfId="1168" priority="3" stopIfTrue="1" operator="equal">
      <formula>"Pasa"</formula>
    </cfRule>
    <cfRule type="cellIs" dxfId="1167" priority="4" stopIfTrue="1" operator="equal">
      <formula>"Falla"</formula>
    </cfRule>
    <cfRule type="cellIs" dxfId="1166" priority="5" stopIfTrue="1" operator="equal">
      <formula>"N/A"</formula>
    </cfRule>
    <cfRule type="cellIs" dxfId="1165" priority="6" stopIfTrue="1" operator="equal">
      <formula>"N/T"</formula>
    </cfRule>
    <cfRule type="cellIs" dxfId="1164" priority="7" stopIfTrue="1" operator="equal">
      <formula>"N/D"</formula>
    </cfRule>
  </conditionalFormatting>
  <conditionalFormatting sqref="D22">
    <cfRule type="cellIs" dxfId="1163"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topLeftCell="B7" zoomScale="90" zoomScaleNormal="90" workbookViewId="0">
      <selection activeCell="C778" sqref="C778"/>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6.7265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5" customHeight="1">
      <c r="B7" s="19"/>
      <c r="C7" s="19"/>
      <c r="D7" s="19"/>
      <c r="E7" s="107"/>
      <c r="F7" s="19"/>
      <c r="G7" s="19"/>
      <c r="H7" s="19"/>
      <c r="I7" s="19"/>
      <c r="J7" s="19"/>
      <c r="K7" s="19"/>
      <c r="L7" s="19"/>
      <c r="M7" s="19"/>
      <c r="N7" s="19"/>
      <c r="O7" s="19"/>
    </row>
    <row r="8" spans="1:64" ht="19" customHeight="1">
      <c r="B8" s="111" t="s">
        <v>153</v>
      </c>
      <c r="C8" s="19"/>
      <c r="D8" s="107"/>
      <c r="E8" s="107"/>
      <c r="F8" s="19"/>
      <c r="G8" s="19"/>
      <c r="H8" s="19"/>
      <c r="I8" s="19"/>
      <c r="J8" s="19"/>
      <c r="K8" s="19"/>
      <c r="L8" s="19"/>
      <c r="M8" s="19"/>
      <c r="N8" s="19"/>
      <c r="O8" s="19"/>
    </row>
    <row r="9" spans="1:64" ht="30" customHeight="1">
      <c r="B9" s="265" t="s">
        <v>471</v>
      </c>
      <c r="C9" s="265"/>
      <c r="D9" s="265"/>
      <c r="E9" s="265"/>
      <c r="F9" s="265"/>
      <c r="G9" s="265"/>
      <c r="H9" s="265"/>
      <c r="I9" s="265"/>
      <c r="J9" s="265"/>
      <c r="K9" s="265"/>
      <c r="L9" s="265"/>
      <c r="M9" s="265"/>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3" t="s">
        <v>152</v>
      </c>
      <c r="C11" s="264"/>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107</v>
      </c>
      <c r="H12" s="53">
        <f ca="1">IF(($G$15+$K$15)=0,0,G12/($G$15+$K$15))</f>
        <v>0.42799999999999999</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48</v>
      </c>
      <c r="H13" s="53">
        <f ca="1">IF(($G$15+$K$15)=0,0,G13/($G$15+$K$15))</f>
        <v>0.192</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95</v>
      </c>
      <c r="H14" s="53">
        <f ca="1">IF(($G$15+$K$15)=0,0,G14/($G$15+$K$15))</f>
        <v>0.38</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250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http://www.madrid.org/presupuestos</v>
      </c>
      <c r="D19" s="130" t="s">
        <v>28</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Menu 1</v>
      </c>
      <c r="C20" s="114" t="str" cm="1">
        <f t="array" ref="C20">IFERROR(INDEX('03.Muestra'!$F$8:$F$42,SMALL(IF("Página Web"='03.Muestra'!$D$8:$D$42,ROW('03.Muestra'!$F$8:$F$42)-MIN(ROW('03.Muestra'!$D$8:$D$42))+1,""),ROW()-18)),"")</f>
        <v>http://www.madrid.org/presupuestos/index.php/presupuestos-generales/presupuestos-cm/2022</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v>
      </c>
      <c r="J20" s="120">
        <f ca="1">COUNTIF($D19:INDIRECT("$D" &amp;  SUM(ROW()-1,'03.Muestra'!$D$45)-1),J19)</f>
        <v>3</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Menu 2</v>
      </c>
      <c r="C21" s="114" t="str" cm="1">
        <f t="array" ref="C21">IFERROR(INDEX('03.Muestra'!$F$8:$F$42,SMALL(IF("Página Web"='03.Muestra'!$D$8:$D$42,ROW('03.Muestra'!$F$8:$F$42)-MIN(ROW('03.Muestra'!$D$8:$D$42))+1,""),ROW()-18)),"")</f>
        <v>http://www.madrid.org/presupuestos/index.php/ejecucion-presupuestaria</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Menu 3</v>
      </c>
      <c r="C22" s="114" t="str" cm="1">
        <f t="array" ref="C22">IFERROR(INDEX('03.Muestra'!$F$8:$F$42,SMALL(IF("Página Web"='03.Muestra'!$D$8:$D$42,ROW('03.Muestra'!$F$8:$F$42)-MIN(ROW('03.Muestra'!$D$8:$D$42))+1,""),ROW()-18)),"")</f>
        <v>http://www.madrid.org/presupuestos/index.php/transparencia</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Accesibilidad</v>
      </c>
      <c r="C23" s="114" t="str" cm="1">
        <f t="array" ref="C23">IFERROR(INDEX('03.Muestra'!$F$8:$F$42,SMALL(IF("Página Web"='03.Muestra'!$D$8:$D$42,ROW('03.Muestra'!$F$8:$F$42)-MIN(ROW('03.Muestra'!$D$8:$D$42))+1,""),ROW()-18)),"")</f>
        <v>http://www.madrid.org/presupuestos/index.php/accesibilidad-web</v>
      </c>
      <c r="D23" s="130" t="s">
        <v>28</v>
      </c>
      <c r="E23" s="107" t="str">
        <f t="shared" si="0"/>
        <v/>
      </c>
      <c r="F23" s="122"/>
      <c r="G23" s="19"/>
      <c r="H23" s="19"/>
      <c r="I23" s="19"/>
      <c r="K23" s="117" t="s">
        <v>35</v>
      </c>
      <c r="L23" s="121" t="s">
        <v>36</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c r="E24" s="107" t="str">
        <f t="shared" si="0"/>
        <v/>
      </c>
      <c r="F24" s="19"/>
      <c r="G24" s="19"/>
      <c r="H24" s="19"/>
      <c r="I24" s="19"/>
      <c r="K24" s="116" t="s">
        <v>37</v>
      </c>
      <c r="L24" s="121" t="s">
        <v>38</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ref="D25:D53" si="1">IF(AND(B25&lt;&gt;"",C25&lt;&gt;""),"N/T","")</f>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http://www.madrid.org/presupuestos</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Menu 1</v>
      </c>
      <c r="C58" s="114" t="str" cm="1">
        <f t="array" ref="C58">IFERROR(INDEX('03.Muestra'!$F$8:$F$42,SMALL(IF("Página Web"='03.Muestra'!$D$8:$D$42,ROW('03.Muestra'!$F$8:$F$42)-MIN(ROW('03.Muestra'!$D$8:$D$42))+1,""),ROW()-56)),"")</f>
        <v>http://www.madrid.org/presupuestos/index.php/presupuestos-generales/presupuestos-cm/2022</v>
      </c>
      <c r="D58" s="130" t="s">
        <v>35</v>
      </c>
      <c r="E58" s="107" t="str">
        <f t="shared" si="2"/>
        <v/>
      </c>
      <c r="F58" s="120">
        <f ca="1">COUNTIF($D57:INDIRECT("$D" &amp;  SUM(ROW()-1,'03.Muestra'!$D$45)-1),F57)</f>
        <v>0</v>
      </c>
      <c r="G58" s="120">
        <f ca="1">COUNTIF($D57:INDIRECT("$D" &amp;  SUM(ROW()-1,'03.Muestra'!$D$45)-1),G57)</f>
        <v>0</v>
      </c>
      <c r="H58" s="120">
        <f ca="1">COUNTIF($D57:INDIRECT("$D" &amp;  SUM(ROW()-1,'03.Muestra'!$D$45)-1),H57)</f>
        <v>5</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Menu 2</v>
      </c>
      <c r="C59" s="114" t="str" cm="1">
        <f t="array" ref="C59">IFERROR(INDEX('03.Muestra'!$F$8:$F$42,SMALL(IF("Página Web"='03.Muestra'!$D$8:$D$42,ROW('03.Muestra'!$F$8:$F$42)-MIN(ROW('03.Muestra'!$D$8:$D$42))+1,""),ROW()-56)),"")</f>
        <v>http://www.madrid.org/presupuestos/index.php/ejecucion-presupuestaria</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Menu 3</v>
      </c>
      <c r="C60" s="114" t="str" cm="1">
        <f t="array" ref="C60">IFERROR(INDEX('03.Muestra'!$F$8:$F$42,SMALL(IF("Página Web"='03.Muestra'!$D$8:$D$42,ROW('03.Muestra'!$F$8:$F$42)-MIN(ROW('03.Muestra'!$D$8:$D$42))+1,""),ROW()-56)),"")</f>
        <v>http://www.madrid.org/presupuestos/index.php/transparencia</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Accesibilidad</v>
      </c>
      <c r="C61" s="114" t="str" cm="1">
        <f t="array" ref="C61">IFERROR(INDEX('03.Muestra'!$F$8:$F$42,SMALL(IF("Página Web"='03.Muestra'!$D$8:$D$42,ROW('03.Muestra'!$F$8:$F$42)-MIN(ROW('03.Muestra'!$D$8:$D$42))+1,""),ROW()-56)),"")</f>
        <v>http://www.madrid.org/presupuestos/index.php/accesibilidad-web</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ref="D62:D91" si="3">IF(AND(B62&lt;&gt;"",C62&lt;&gt;""),"N/T","")</f>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http://www.madrid.org/presupuestos</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Menu 1</v>
      </c>
      <c r="C96" s="114" t="str" cm="1">
        <f t="array" ref="C96">IFERROR(INDEX('03.Muestra'!$F$8:$F$42,SMALL(IF("Página Web"='03.Muestra'!$D$8:$D$42,ROW('03.Muestra'!$F$8:$F$42)-MIN(ROW('03.Muestra'!$D$8:$D$42))+1,""),ROW()-94)),"")</f>
        <v>http://www.madrid.org/presupuestos/index.php/presupuestos-generales/presupuestos-cm/2022</v>
      </c>
      <c r="D96" s="130" t="s">
        <v>35</v>
      </c>
      <c r="E96" s="107" t="str">
        <f t="shared" si="4"/>
        <v/>
      </c>
      <c r="F96" s="120">
        <f ca="1">COUNTIF($D95:INDIRECT("$D" &amp;  SUM(ROW()-1,'03.Muestra'!$D$45)-1),F95)</f>
        <v>0</v>
      </c>
      <c r="G96" s="120">
        <f ca="1">COUNTIF($D95:INDIRECT("$D" &amp;  SUM(ROW()-1,'03.Muestra'!$D$45)-1),G95)</f>
        <v>0</v>
      </c>
      <c r="H96" s="120">
        <f ca="1">COUNTIF($D95:INDIRECT("$D" &amp;  SUM(ROW()-1,'03.Muestra'!$D$45)-1),H95)</f>
        <v>5</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Menu 2</v>
      </c>
      <c r="C97" s="114" t="str" cm="1">
        <f t="array" ref="C97">IFERROR(INDEX('03.Muestra'!$F$8:$F$42,SMALL(IF("Página Web"='03.Muestra'!$D$8:$D$42,ROW('03.Muestra'!$F$8:$F$42)-MIN(ROW('03.Muestra'!$D$8:$D$42))+1,""),ROW()-94)),"")</f>
        <v>http://www.madrid.org/presupuestos/index.php/ejecucion-presupuestaria</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Menu 3</v>
      </c>
      <c r="C98" s="114" t="str" cm="1">
        <f t="array" ref="C98">IFERROR(INDEX('03.Muestra'!$F$8:$F$42,SMALL(IF("Página Web"='03.Muestra'!$D$8:$D$42,ROW('03.Muestra'!$F$8:$F$42)-MIN(ROW('03.Muestra'!$D$8:$D$42))+1,""),ROW()-94)),"")</f>
        <v>http://www.madrid.org/presupuestos/index.php/transparencia</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Accesibilidad</v>
      </c>
      <c r="C99" s="114" t="str" cm="1">
        <f t="array" ref="C99">IFERROR(INDEX('03.Muestra'!$F$8:$F$42,SMALL(IF("Página Web"='03.Muestra'!$D$8:$D$42,ROW('03.Muestra'!$F$8:$F$42)-MIN(ROW('03.Muestra'!$D$8:$D$42))+1,""),ROW()-94)),"")</f>
        <v>http://www.madrid.org/presupuestos/index.php/accesibilidad-web</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ref="D101:D129" si="5">IF(AND(B101&lt;&gt;"",C101&lt;&gt;""),"N/T","")</f>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http://www.madrid.org/presupuestos</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Menu 1</v>
      </c>
      <c r="C134" s="114" t="str" cm="1">
        <f t="array" ref="C134">IFERROR(INDEX('03.Muestra'!$F$8:$F$42,SMALL(IF("Página Web"='03.Muestra'!$D$8:$D$42,ROW('03.Muestra'!$F$8:$F$42)-MIN(ROW('03.Muestra'!$D$8:$D$42))+1,""),ROW()-132)),"")</f>
        <v>http://www.madrid.org/presupuestos/index.php/presupuestos-generales/presupuestos-cm/2022</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5</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Menu 2</v>
      </c>
      <c r="C135" s="114" t="str" cm="1">
        <f t="array" ref="C135">IFERROR(INDEX('03.Muestra'!$F$8:$F$42,SMALL(IF("Página Web"='03.Muestra'!$D$8:$D$42,ROW('03.Muestra'!$F$8:$F$42)-MIN(ROW('03.Muestra'!$D$8:$D$42))+1,""),ROW()-132)),"")</f>
        <v>http://www.madrid.org/presupuestos/index.php/ejecucion-presupuestaria</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Menu 3</v>
      </c>
      <c r="C136" s="114" t="str" cm="1">
        <f t="array" ref="C136">IFERROR(INDEX('03.Muestra'!$F$8:$F$42,SMALL(IF("Página Web"='03.Muestra'!$D$8:$D$42,ROW('03.Muestra'!$F$8:$F$42)-MIN(ROW('03.Muestra'!$D$8:$D$42))+1,""),ROW()-132)),"")</f>
        <v>http://www.madrid.org/presupuestos/index.php/transparencia</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Accesibilidad</v>
      </c>
      <c r="C137" s="114" t="str" cm="1">
        <f t="array" ref="C137">IFERROR(INDEX('03.Muestra'!$F$8:$F$42,SMALL(IF("Página Web"='03.Muestra'!$D$8:$D$42,ROW('03.Muestra'!$F$8:$F$42)-MIN(ROW('03.Muestra'!$D$8:$D$42))+1,""),ROW()-132)),"")</f>
        <v>http://www.madrid.org/presupuestos/index.php/accesibilidad-web</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ref="D138:D167" si="7">IF(AND(B138&lt;&gt;"",C138&lt;&gt;""),"N/T","")</f>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http://www.madrid.org/presupuestos</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Menu 1</v>
      </c>
      <c r="C172" s="114" t="str" cm="1">
        <f t="array" ref="C172">IFERROR(INDEX('03.Muestra'!$F$8:$F$42,SMALL(IF("Página Web"='03.Muestra'!$D$8:$D$42,ROW('03.Muestra'!$F$8:$F$42)-MIN(ROW('03.Muestra'!$D$8:$D$42))+1,""),ROW()-170)),"")</f>
        <v>http://www.madrid.org/presupuestos/index.php/presupuestos-generales/presupuestos-cm/2022</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5</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Menu 2</v>
      </c>
      <c r="C173" s="114" t="str" cm="1">
        <f t="array" ref="C173">IFERROR(INDEX('03.Muestra'!$F$8:$F$42,SMALL(IF("Página Web"='03.Muestra'!$D$8:$D$42,ROW('03.Muestra'!$F$8:$F$42)-MIN(ROW('03.Muestra'!$D$8:$D$42))+1,""),ROW()-170)),"")</f>
        <v>http://www.madrid.org/presupuestos/index.php/ejecucion-presupuestaria</v>
      </c>
      <c r="D173" s="130" t="s">
        <v>35</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Menu 3</v>
      </c>
      <c r="C174" s="114" t="str" cm="1">
        <f t="array" ref="C174">IFERROR(INDEX('03.Muestra'!$F$8:$F$42,SMALL(IF("Página Web"='03.Muestra'!$D$8:$D$42,ROW('03.Muestra'!$F$8:$F$42)-MIN(ROW('03.Muestra'!$D$8:$D$42))+1,""),ROW()-170)),"")</f>
        <v>http://www.madrid.org/presupuestos/index.php/transparencia</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Accesibilidad</v>
      </c>
      <c r="C175" s="114" t="str" cm="1">
        <f t="array" ref="C175">IFERROR(INDEX('03.Muestra'!$F$8:$F$42,SMALL(IF("Página Web"='03.Muestra'!$D$8:$D$42,ROW('03.Muestra'!$F$8:$F$42)-MIN(ROW('03.Muestra'!$D$8:$D$42))+1,""),ROW()-170)),"")</f>
        <v>http://www.madrid.org/presupuestos/index.php/accesibilidad-web</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ref="D176:D205" si="9">IF(AND(B176&lt;&gt;"",C176&lt;&gt;""),"N/T","")</f>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http://www.madrid.org/presupuestos</v>
      </c>
      <c r="D209" s="130" t="s">
        <v>28</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Menu 1</v>
      </c>
      <c r="C210" s="114" t="str" cm="1">
        <f t="array" ref="C210">IFERROR(INDEX('03.Muestra'!$F$8:$F$42,SMALL(IF("Página Web"='03.Muestra'!$D$8:$D$42,ROW('03.Muestra'!$F$8:$F$42)-MIN(ROW('03.Muestra'!$D$8:$D$42))+1,""),ROW()-208)),"")</f>
        <v>http://www.madrid.org/presupuestos/index.php/presupuestos-generales/presupuestos-cm/2022</v>
      </c>
      <c r="D210" s="130" t="s">
        <v>28</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5</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Menu 2</v>
      </c>
      <c r="C211" s="114" t="str" cm="1">
        <f t="array" ref="C211">IFERROR(INDEX('03.Muestra'!$F$8:$F$42,SMALL(IF("Página Web"='03.Muestra'!$D$8:$D$42,ROW('03.Muestra'!$F$8:$F$42)-MIN(ROW('03.Muestra'!$D$8:$D$42))+1,""),ROW()-208)),"")</f>
        <v>http://www.madrid.org/presupuestos/index.php/ejecucion-presupuestaria</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Menu 3</v>
      </c>
      <c r="C212" s="114" t="str" cm="1">
        <f t="array" ref="C212">IFERROR(INDEX('03.Muestra'!$F$8:$F$42,SMALL(IF("Página Web"='03.Muestra'!$D$8:$D$42,ROW('03.Muestra'!$F$8:$F$42)-MIN(ROW('03.Muestra'!$D$8:$D$42))+1,""),ROW()-208)),"")</f>
        <v>http://www.madrid.org/presupuestos/index.php/transparencia</v>
      </c>
      <c r="D212" s="130" t="s">
        <v>28</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Accesibilidad</v>
      </c>
      <c r="C213" s="114" t="str" cm="1">
        <f t="array" ref="C213">IFERROR(INDEX('03.Muestra'!$F$8:$F$42,SMALL(IF("Página Web"='03.Muestra'!$D$8:$D$42,ROW('03.Muestra'!$F$8:$F$42)-MIN(ROW('03.Muestra'!$D$8:$D$42))+1,""),ROW()-208)),"")</f>
        <v>http://www.madrid.org/presupuestos/index.php/accesibilidad-web</v>
      </c>
      <c r="D213" s="130" t="s">
        <v>28</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t="str">
        <f t="shared" ref="D214:D243" si="11">IF(AND(B214&lt;&gt;"",C214&lt;&gt;""),"N/T","")</f>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http://www.madrid.org/presupuestos</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Menu 1</v>
      </c>
      <c r="C248" s="114" t="str" cm="1">
        <f t="array" ref="C248">IFERROR(INDEX('03.Muestra'!$F$8:$F$42,SMALL(IF("Página Web"='03.Muestra'!$D$8:$D$42,ROW('03.Muestra'!$F$8:$F$42)-MIN(ROW('03.Muestra'!$D$8:$D$42))+1,""),ROW()-246)),"")</f>
        <v>http://www.madrid.org/presupuestos/index.php/presupuestos-generales/presupuestos-cm/2022</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5</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Menu 2</v>
      </c>
      <c r="C249" s="114" t="str" cm="1">
        <f t="array" ref="C249">IFERROR(INDEX('03.Muestra'!$F$8:$F$42,SMALL(IF("Página Web"='03.Muestra'!$D$8:$D$42,ROW('03.Muestra'!$F$8:$F$42)-MIN(ROW('03.Muestra'!$D$8:$D$42))+1,""),ROW()-246)),"")</f>
        <v>http://www.madrid.org/presupuestos/index.php/ejecucion-presupuestaria</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Menu 3</v>
      </c>
      <c r="C250" s="114" t="str" cm="1">
        <f t="array" ref="C250">IFERROR(INDEX('03.Muestra'!$F$8:$F$42,SMALL(IF("Página Web"='03.Muestra'!$D$8:$D$42,ROW('03.Muestra'!$F$8:$F$42)-MIN(ROW('03.Muestra'!$D$8:$D$42))+1,""),ROW()-246)),"")</f>
        <v>http://www.madrid.org/presupuestos/index.php/transparencia</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Accesibilidad</v>
      </c>
      <c r="C251" s="114" t="str" cm="1">
        <f t="array" ref="C251">IFERROR(INDEX('03.Muestra'!$F$8:$F$42,SMALL(IF("Página Web"='03.Muestra'!$D$8:$D$42,ROW('03.Muestra'!$F$8:$F$42)-MIN(ROW('03.Muestra'!$D$8:$D$42))+1,""),ROW()-246)),"")</f>
        <v>http://www.madrid.org/presupuestos/index.php/accesibilidad-web</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IFERROR(INDEX('03.Muestra'!$B$8:$B$42,SMALL(IF("Página Web"='03.Muestra'!$D$8:$D$42,ROW('03.Muestra'!$B$8:$B$42)-MIN(ROW('03.Muestra'!$D$8:$D$42))+1,""),ROW()-246)),"")</f>
        <v/>
      </c>
      <c r="B252" s="114" t="str" cm="1">
        <f t="array" ref="B252">IFERROR(INDEX('03.Muestra'!$C$8:$C$42,SMALL(IF("Página Web"='03.Muestra'!$D$8:$D$42,ROW('03.Muestra'!$C$8:$C$42)-MIN(ROW('03.Muestra'!$D$8:$D$42))+1,""),ROW()-246)),"")</f>
        <v/>
      </c>
      <c r="C252" s="114" t="str" cm="1">
        <f t="array" ref="C252">IFERROR(INDEX('03.Muestra'!$F$8:$F$42,SMALL(IF("Página Web"='03.Muestra'!$D$8:$D$42,ROW('03.Muestra'!$F$8:$F$42)-MIN(ROW('03.Muestra'!$D$8:$D$42))+1,""),ROW()-246)),"")</f>
        <v/>
      </c>
      <c r="D252" s="130" t="str">
        <f t="shared" ref="D252:D281" si="13">IF(AND(B252&lt;&gt;"",C252&lt;&gt;""),"N/T","")</f>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IFERROR(INDEX('03.Muestra'!$B$8:$B$42,SMALL(IF("Página Web"='03.Muestra'!$D$8:$D$42,ROW('03.Muestra'!$B$8:$B$42)-MIN(ROW('03.Muestra'!$D$8:$D$42))+1,""),ROW()-246)),"")</f>
        <v/>
      </c>
      <c r="B253" s="114" t="str" cm="1">
        <f t="array" ref="B253">IFERROR(INDEX('03.Muestra'!$C$8:$C$42,SMALL(IF("Página Web"='03.Muestra'!$D$8:$D$42,ROW('03.Muestra'!$C$8:$C$42)-MIN(ROW('03.Muestra'!$D$8:$D$42))+1,""),ROW()-246)),"")</f>
        <v/>
      </c>
      <c r="C253" s="114" t="str" cm="1">
        <f t="array" ref="C253">IFERROR(INDEX('03.Muestra'!$F$8:$F$42,SMALL(IF("Página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IFERROR(INDEX('03.Muestra'!$B$8:$B$42,SMALL(IF("Página Web"='03.Muestra'!$D$8:$D$42,ROW('03.Muestra'!$B$8:$B$42)-MIN(ROW('03.Muestra'!$D$8:$D$42))+1,""),ROW()-246)),"")</f>
        <v/>
      </c>
      <c r="B254" s="114" t="str" cm="1">
        <f t="array" ref="B254">IFERROR(INDEX('03.Muestra'!$C$8:$C$42,SMALL(IF("Página Web"='03.Muestra'!$D$8:$D$42,ROW('03.Muestra'!$C$8:$C$42)-MIN(ROW('03.Muestra'!$D$8:$D$42))+1,""),ROW()-246)),"")</f>
        <v/>
      </c>
      <c r="C254" s="114" t="str" cm="1">
        <f t="array" ref="C254">IFERROR(INDEX('03.Muestra'!$F$8:$F$42,SMALL(IF("Página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IFERROR(INDEX('03.Muestra'!$B$8:$B$42,SMALL(IF("Página Web"='03.Muestra'!$D$8:$D$42,ROW('03.Muestra'!$B$8:$B$42)-MIN(ROW('03.Muestra'!$D$8:$D$42))+1,""),ROW()-246)),"")</f>
        <v/>
      </c>
      <c r="B255" s="114" t="str" cm="1">
        <f t="array" ref="B255">IFERROR(INDEX('03.Muestra'!$C$8:$C$42,SMALL(IF("Página Web"='03.Muestra'!$D$8:$D$42,ROW('03.Muestra'!$C$8:$C$42)-MIN(ROW('03.Muestra'!$D$8:$D$42))+1,""),ROW()-246)),"")</f>
        <v/>
      </c>
      <c r="C255" s="114" t="str" cm="1">
        <f t="array" ref="C255">IFERROR(INDEX('03.Muestra'!$F$8:$F$42,SMALL(IF("Página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IFERROR(INDEX('03.Muestra'!$B$8:$B$42,SMALL(IF("Página Web"='03.Muestra'!$D$8:$D$42,ROW('03.Muestra'!$B$8:$B$42)-MIN(ROW('03.Muestra'!$D$8:$D$42))+1,""),ROW()-246)),"")</f>
        <v/>
      </c>
      <c r="B256" s="114" t="str" cm="1">
        <f t="array" ref="B256">IFERROR(INDEX('03.Muestra'!$C$8:$C$42,SMALL(IF("Página Web"='03.Muestra'!$D$8:$D$42,ROW('03.Muestra'!$C$8:$C$42)-MIN(ROW('03.Muestra'!$D$8:$D$42))+1,""),ROW()-246)),"")</f>
        <v/>
      </c>
      <c r="C256" s="114" t="str" cm="1">
        <f t="array" ref="C256">IFERROR(INDEX('03.Muestra'!$F$8:$F$42,SMALL(IF("Página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http://www.madrid.org/presupuestos</v>
      </c>
      <c r="D285" s="130" t="s">
        <v>26</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Menu 1</v>
      </c>
      <c r="C286" s="114" t="str" cm="1">
        <f t="array" ref="C286">IFERROR(INDEX('03.Muestra'!$F$8:$F$42,SMALL(IF("Página Web"='03.Muestra'!$D$8:$D$42,ROW('03.Muestra'!$F$8:$F$42)-MIN(ROW('03.Muestra'!$D$8:$D$42))+1,""),ROW()-284)),"")</f>
        <v>http://www.madrid.org/presupuestos/index.php/presupuestos-generales/presupuestos-cm/2022</v>
      </c>
      <c r="D286" s="130" t="s">
        <v>26</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5</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Menu 2</v>
      </c>
      <c r="C287" s="114" t="str" cm="1">
        <f t="array" ref="C287">IFERROR(INDEX('03.Muestra'!$F$8:$F$42,SMALL(IF("Página Web"='03.Muestra'!$D$8:$D$42,ROW('03.Muestra'!$F$8:$F$42)-MIN(ROW('03.Muestra'!$D$8:$D$42))+1,""),ROW()-284)),"")</f>
        <v>http://www.madrid.org/presupuestos/index.php/ejecucion-presupuestaria</v>
      </c>
      <c r="D287" s="130" t="s">
        <v>26</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Menu 3</v>
      </c>
      <c r="C288" s="114" t="str" cm="1">
        <f t="array" ref="C288">IFERROR(INDEX('03.Muestra'!$F$8:$F$42,SMALL(IF("Página Web"='03.Muestra'!$D$8:$D$42,ROW('03.Muestra'!$F$8:$F$42)-MIN(ROW('03.Muestra'!$D$8:$D$42))+1,""),ROW()-284)),"")</f>
        <v>http://www.madrid.org/presupuestos/index.php/transparencia</v>
      </c>
      <c r="D288" s="130" t="s">
        <v>26</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Accesibilidad</v>
      </c>
      <c r="C289" s="114" t="str" cm="1">
        <f t="array" ref="C289">IFERROR(INDEX('03.Muestra'!$F$8:$F$42,SMALL(IF("Página Web"='03.Muestra'!$D$8:$D$42,ROW('03.Muestra'!$F$8:$F$42)-MIN(ROW('03.Muestra'!$D$8:$D$42))+1,""),ROW()-284)),"")</f>
        <v>http://www.madrid.org/presupuestos/index.php/accesibilidad-web</v>
      </c>
      <c r="D289" s="130" t="s">
        <v>26</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IFERROR(INDEX('03.Muestra'!$B$8:$B$42,SMALL(IF("Página Web"='03.Muestra'!$D$8:$D$42,ROW('03.Muestra'!$B$8:$B$42)-MIN(ROW('03.Muestra'!$D$8:$D$42))+1,""),ROW()-284)),"")</f>
        <v/>
      </c>
      <c r="B290" s="114" t="str" cm="1">
        <f t="array" ref="B290">IFERROR(INDEX('03.Muestra'!$C$8:$C$42,SMALL(IF("Página Web"='03.Muestra'!$D$8:$D$42,ROW('03.Muestra'!$C$8:$C$42)-MIN(ROW('03.Muestra'!$D$8:$D$42))+1,""),ROW()-284)),"")</f>
        <v/>
      </c>
      <c r="C290" s="114" t="str" cm="1">
        <f t="array" ref="C290">IFERROR(INDEX('03.Muestra'!$F$8:$F$42,SMALL(IF("Página Web"='03.Muestra'!$D$8:$D$42,ROW('03.Muestra'!$F$8:$F$42)-MIN(ROW('03.Muestra'!$D$8:$D$42))+1,""),ROW()-284)),"")</f>
        <v/>
      </c>
      <c r="D290" s="130" t="str">
        <f t="shared" ref="D290:D319" si="15">IF(AND(B290&lt;&gt;"",C290&lt;&gt;""),"N/T","")</f>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IFERROR(INDEX('03.Muestra'!$B$8:$B$42,SMALL(IF("Página Web"='03.Muestra'!$D$8:$D$42,ROW('03.Muestra'!$B$8:$B$42)-MIN(ROW('03.Muestra'!$D$8:$D$42))+1,""),ROW()-284)),"")</f>
        <v/>
      </c>
      <c r="B291" s="114" t="str" cm="1">
        <f t="array" ref="B291">IFERROR(INDEX('03.Muestra'!$C$8:$C$42,SMALL(IF("Página Web"='03.Muestra'!$D$8:$D$42,ROW('03.Muestra'!$C$8:$C$42)-MIN(ROW('03.Muestra'!$D$8:$D$42))+1,""),ROW()-284)),"")</f>
        <v/>
      </c>
      <c r="C291" s="114" t="str" cm="1">
        <f t="array" ref="C291">IFERROR(INDEX('03.Muestra'!$F$8:$F$42,SMALL(IF("Página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IFERROR(INDEX('03.Muestra'!$B$8:$B$42,SMALL(IF("Página Web"='03.Muestra'!$D$8:$D$42,ROW('03.Muestra'!$B$8:$B$42)-MIN(ROW('03.Muestra'!$D$8:$D$42))+1,""),ROW()-284)),"")</f>
        <v/>
      </c>
      <c r="B292" s="114" t="str" cm="1">
        <f t="array" ref="B292">IFERROR(INDEX('03.Muestra'!$C$8:$C$42,SMALL(IF("Página Web"='03.Muestra'!$D$8:$D$42,ROW('03.Muestra'!$C$8:$C$42)-MIN(ROW('03.Muestra'!$D$8:$D$42))+1,""),ROW()-284)),"")</f>
        <v/>
      </c>
      <c r="C292" s="114" t="str" cm="1">
        <f t="array" ref="C292">IFERROR(INDEX('03.Muestra'!$F$8:$F$42,SMALL(IF("Página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IFERROR(INDEX('03.Muestra'!$B$8:$B$42,SMALL(IF("Página Web"='03.Muestra'!$D$8:$D$42,ROW('03.Muestra'!$B$8:$B$42)-MIN(ROW('03.Muestra'!$D$8:$D$42))+1,""),ROW()-284)),"")</f>
        <v/>
      </c>
      <c r="B293" s="114" t="str" cm="1">
        <f t="array" ref="B293">IFERROR(INDEX('03.Muestra'!$C$8:$C$42,SMALL(IF("Página Web"='03.Muestra'!$D$8:$D$42,ROW('03.Muestra'!$C$8:$C$42)-MIN(ROW('03.Muestra'!$D$8:$D$42))+1,""),ROW()-284)),"")</f>
        <v/>
      </c>
      <c r="C293" s="114" t="str" cm="1">
        <f t="array" ref="C293">IFERROR(INDEX('03.Muestra'!$F$8:$F$42,SMALL(IF("Página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IFERROR(INDEX('03.Muestra'!$B$8:$B$42,SMALL(IF("Página Web"='03.Muestra'!$D$8:$D$42,ROW('03.Muestra'!$B$8:$B$42)-MIN(ROW('03.Muestra'!$D$8:$D$42))+1,""),ROW()-284)),"")</f>
        <v/>
      </c>
      <c r="B294" s="114" t="str" cm="1">
        <f t="array" ref="B294">IFERROR(INDEX('03.Muestra'!$C$8:$C$42,SMALL(IF("Página Web"='03.Muestra'!$D$8:$D$42,ROW('03.Muestra'!$C$8:$C$42)-MIN(ROW('03.Muestra'!$D$8:$D$42))+1,""),ROW()-284)),"")</f>
        <v/>
      </c>
      <c r="C294" s="114" t="str" cm="1">
        <f t="array" ref="C294">IFERROR(INDEX('03.Muestra'!$F$8:$F$42,SMALL(IF("Página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http://www.madrid.org/presupuestos</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Menu 1</v>
      </c>
      <c r="C324" s="114" t="str" cm="1">
        <f t="array" ref="C324">IFERROR(INDEX('03.Muestra'!$F$8:$F$42,SMALL(IF("Página Web"='03.Muestra'!$D$8:$D$42,ROW('03.Muestra'!$F$8:$F$42)-MIN(ROW('03.Muestra'!$D$8:$D$42))+1,""),ROW()-322)),"")</f>
        <v>http://www.madrid.org/presupuestos/index.php/presupuestos-generales/presupuestos-cm/2022</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5</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Menu 2</v>
      </c>
      <c r="C325" s="114" t="str" cm="1">
        <f t="array" ref="C325">IFERROR(INDEX('03.Muestra'!$F$8:$F$42,SMALL(IF("Página Web"='03.Muestra'!$D$8:$D$42,ROW('03.Muestra'!$F$8:$F$42)-MIN(ROW('03.Muestra'!$D$8:$D$42))+1,""),ROW()-322)),"")</f>
        <v>http://www.madrid.org/presupuestos/index.php/ejecucion-presupuestaria</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Menu 3</v>
      </c>
      <c r="C326" s="114" t="str" cm="1">
        <f t="array" ref="C326">IFERROR(INDEX('03.Muestra'!$F$8:$F$42,SMALL(IF("Página Web"='03.Muestra'!$D$8:$D$42,ROW('03.Muestra'!$F$8:$F$42)-MIN(ROW('03.Muestra'!$D$8:$D$42))+1,""),ROW()-322)),"")</f>
        <v>http://www.madrid.org/presupuestos/index.php/transparencia</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Accesibilidad</v>
      </c>
      <c r="C327" s="114" t="str" cm="1">
        <f t="array" ref="C327">IFERROR(INDEX('03.Muestra'!$F$8:$F$42,SMALL(IF("Página Web"='03.Muestra'!$D$8:$D$42,ROW('03.Muestra'!$F$8:$F$42)-MIN(ROW('03.Muestra'!$D$8:$D$42))+1,""),ROW()-322)),"")</f>
        <v>http://www.madrid.org/presupuestos/index.php/accesibilidad-web</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IFERROR(INDEX('03.Muestra'!$B$8:$B$42,SMALL(IF("Página Web"='03.Muestra'!$D$8:$D$42,ROW('03.Muestra'!$B$8:$B$42)-MIN(ROW('03.Muestra'!$D$8:$D$42))+1,""),ROW()-322)),"")</f>
        <v/>
      </c>
      <c r="B328" s="114" t="str" cm="1">
        <f t="array" ref="B328">IFERROR(INDEX('03.Muestra'!$C$8:$C$42,SMALL(IF("Página Web"='03.Muestra'!$D$8:$D$42,ROW('03.Muestra'!$C$8:$C$42)-MIN(ROW('03.Muestra'!$D$8:$D$42))+1,""),ROW()-322)),"")</f>
        <v/>
      </c>
      <c r="C328" s="114" t="str" cm="1">
        <f t="array" ref="C328">IFERROR(INDEX('03.Muestra'!$F$8:$F$42,SMALL(IF("Página Web"='03.Muestra'!$D$8:$D$42,ROW('03.Muestra'!$F$8:$F$42)-MIN(ROW('03.Muestra'!$D$8:$D$42))+1,""),ROW()-322)),"")</f>
        <v/>
      </c>
      <c r="D328" s="130" t="str">
        <f t="shared" ref="D328:D357" si="17">IF(AND(B328&lt;&gt;"",C328&lt;&gt;""),"N/T","")</f>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IFERROR(INDEX('03.Muestra'!$B$8:$B$42,SMALL(IF("Página Web"='03.Muestra'!$D$8:$D$42,ROW('03.Muestra'!$B$8:$B$42)-MIN(ROW('03.Muestra'!$D$8:$D$42))+1,""),ROW()-322)),"")</f>
        <v/>
      </c>
      <c r="B329" s="114" t="str" cm="1">
        <f t="array" ref="B329">IFERROR(INDEX('03.Muestra'!$C$8:$C$42,SMALL(IF("Página Web"='03.Muestra'!$D$8:$D$42,ROW('03.Muestra'!$C$8:$C$42)-MIN(ROW('03.Muestra'!$D$8:$D$42))+1,""),ROW()-322)),"")</f>
        <v/>
      </c>
      <c r="C329" s="114" t="str" cm="1">
        <f t="array" ref="C329">IFERROR(INDEX('03.Muestra'!$F$8:$F$42,SMALL(IF("Página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IFERROR(INDEX('03.Muestra'!$B$8:$B$42,SMALL(IF("Página Web"='03.Muestra'!$D$8:$D$42,ROW('03.Muestra'!$B$8:$B$42)-MIN(ROW('03.Muestra'!$D$8:$D$42))+1,""),ROW()-322)),"")</f>
        <v/>
      </c>
      <c r="B330" s="114" t="str" cm="1">
        <f t="array" ref="B330">IFERROR(INDEX('03.Muestra'!$C$8:$C$42,SMALL(IF("Página Web"='03.Muestra'!$D$8:$D$42,ROW('03.Muestra'!$C$8:$C$42)-MIN(ROW('03.Muestra'!$D$8:$D$42))+1,""),ROW()-322)),"")</f>
        <v/>
      </c>
      <c r="C330" s="114" t="str" cm="1">
        <f t="array" ref="C330">IFERROR(INDEX('03.Muestra'!$F$8:$F$42,SMALL(IF("Página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IFERROR(INDEX('03.Muestra'!$B$8:$B$42,SMALL(IF("Página Web"='03.Muestra'!$D$8:$D$42,ROW('03.Muestra'!$B$8:$B$42)-MIN(ROW('03.Muestra'!$D$8:$D$42))+1,""),ROW()-322)),"")</f>
        <v/>
      </c>
      <c r="B331" s="114" t="str" cm="1">
        <f t="array" ref="B331">IFERROR(INDEX('03.Muestra'!$C$8:$C$42,SMALL(IF("Página Web"='03.Muestra'!$D$8:$D$42,ROW('03.Muestra'!$C$8:$C$42)-MIN(ROW('03.Muestra'!$D$8:$D$42))+1,""),ROW()-322)),"")</f>
        <v/>
      </c>
      <c r="C331" s="114" t="str" cm="1">
        <f t="array" ref="C331">IFERROR(INDEX('03.Muestra'!$F$8:$F$42,SMALL(IF("Página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IFERROR(INDEX('03.Muestra'!$B$8:$B$42,SMALL(IF("Página Web"='03.Muestra'!$D$8:$D$42,ROW('03.Muestra'!$B$8:$B$42)-MIN(ROW('03.Muestra'!$D$8:$D$42))+1,""),ROW()-322)),"")</f>
        <v/>
      </c>
      <c r="B332" s="114" t="str" cm="1">
        <f t="array" ref="B332">IFERROR(INDEX('03.Muestra'!$C$8:$C$42,SMALL(IF("Página Web"='03.Muestra'!$D$8:$D$42,ROW('03.Muestra'!$C$8:$C$42)-MIN(ROW('03.Muestra'!$D$8:$D$42))+1,""),ROW()-322)),"")</f>
        <v/>
      </c>
      <c r="C332" s="114" t="str" cm="1">
        <f t="array" ref="C332">IFERROR(INDEX('03.Muestra'!$F$8:$F$42,SMALL(IF("Página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http://www.madrid.org/presupuestos</v>
      </c>
      <c r="D361" s="130"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Menu 1</v>
      </c>
      <c r="C362" s="114" t="str" cm="1">
        <f t="array" ref="C362">IFERROR(INDEX('03.Muestra'!$F$8:$F$42,SMALL(IF("Página Web"='03.Muestra'!$D$8:$D$42,ROW('03.Muestra'!$F$8:$F$42)-MIN(ROW('03.Muestra'!$D$8:$D$42))+1,""),ROW()-360)),"")</f>
        <v>http://www.madrid.org/presupuestos/index.php/presupuestos-generales/presupuestos-cm/2022</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5</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Menu 2</v>
      </c>
      <c r="C363" s="114" t="str" cm="1">
        <f t="array" ref="C363">IFERROR(INDEX('03.Muestra'!$F$8:$F$42,SMALL(IF("Página Web"='03.Muestra'!$D$8:$D$42,ROW('03.Muestra'!$F$8:$F$42)-MIN(ROW('03.Muestra'!$D$8:$D$42))+1,""),ROW()-360)),"")</f>
        <v>http://www.madrid.org/presupuestos/index.php/ejecucion-presupuestaria</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Menu 3</v>
      </c>
      <c r="C364" s="114" t="str" cm="1">
        <f t="array" ref="C364">IFERROR(INDEX('03.Muestra'!$F$8:$F$42,SMALL(IF("Página Web"='03.Muestra'!$D$8:$D$42,ROW('03.Muestra'!$F$8:$F$42)-MIN(ROW('03.Muestra'!$D$8:$D$42))+1,""),ROW()-360)),"")</f>
        <v>http://www.madrid.org/presupuestos/index.php/transparencia</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Accesibilidad</v>
      </c>
      <c r="C365" s="114" t="str" cm="1">
        <f t="array" ref="C365">IFERROR(INDEX('03.Muestra'!$F$8:$F$42,SMALL(IF("Página Web"='03.Muestra'!$D$8:$D$42,ROW('03.Muestra'!$F$8:$F$42)-MIN(ROW('03.Muestra'!$D$8:$D$42))+1,""),ROW()-360)),"")</f>
        <v>http://www.madrid.org/presupuestos/index.php/accesibilidad-web</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IFERROR(INDEX('03.Muestra'!$B$8:$B$42,SMALL(IF("Página Web"='03.Muestra'!$D$8:$D$42,ROW('03.Muestra'!$B$8:$B$42)-MIN(ROW('03.Muestra'!$D$8:$D$42))+1,""),ROW()-360)),"")</f>
        <v/>
      </c>
      <c r="B366" s="114" t="str" cm="1">
        <f t="array" ref="B366">IFERROR(INDEX('03.Muestra'!$C$8:$C$42,SMALL(IF("Página Web"='03.Muestra'!$D$8:$D$42,ROW('03.Muestra'!$C$8:$C$42)-MIN(ROW('03.Muestra'!$D$8:$D$42))+1,""),ROW()-360)),"")</f>
        <v/>
      </c>
      <c r="C366" s="114" t="str" cm="1">
        <f t="array" ref="C366">IFERROR(INDEX('03.Muestra'!$F$8:$F$42,SMALL(IF("Página Web"='03.Muestra'!$D$8:$D$42,ROW('03.Muestra'!$F$8:$F$42)-MIN(ROW('03.Muestra'!$D$8:$D$42))+1,""),ROW()-360)),"")</f>
        <v/>
      </c>
      <c r="D366" s="130"/>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IFERROR(INDEX('03.Muestra'!$B$8:$B$42,SMALL(IF("Página Web"='03.Muestra'!$D$8:$D$42,ROW('03.Muestra'!$B$8:$B$42)-MIN(ROW('03.Muestra'!$D$8:$D$42))+1,""),ROW()-360)),"")</f>
        <v/>
      </c>
      <c r="B367" s="114" t="str" cm="1">
        <f t="array" ref="B367">IFERROR(INDEX('03.Muestra'!$C$8:$C$42,SMALL(IF("Página Web"='03.Muestra'!$D$8:$D$42,ROW('03.Muestra'!$C$8:$C$42)-MIN(ROW('03.Muestra'!$D$8:$D$42))+1,""),ROW()-360)),"")</f>
        <v/>
      </c>
      <c r="C367" s="114" t="str" cm="1">
        <f t="array" ref="C367">IFERROR(INDEX('03.Muestra'!$F$8:$F$42,SMALL(IF("Página Web"='03.Muestra'!$D$8:$D$42,ROW('03.Muestra'!$F$8:$F$42)-MIN(ROW('03.Muestra'!$D$8:$D$42))+1,""),ROW()-360)),"")</f>
        <v/>
      </c>
      <c r="D367" s="130" t="str">
        <f t="shared" ref="D367:D395" si="19">IF(AND(B367&lt;&gt;"",C367&lt;&gt;""),"N/T","")</f>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IFERROR(INDEX('03.Muestra'!$B$8:$B$42,SMALL(IF("Página Web"='03.Muestra'!$D$8:$D$42,ROW('03.Muestra'!$B$8:$B$42)-MIN(ROW('03.Muestra'!$D$8:$D$42))+1,""),ROW()-360)),"")</f>
        <v/>
      </c>
      <c r="B368" s="114" t="str" cm="1">
        <f t="array" ref="B368">IFERROR(INDEX('03.Muestra'!$C$8:$C$42,SMALL(IF("Página Web"='03.Muestra'!$D$8:$D$42,ROW('03.Muestra'!$C$8:$C$42)-MIN(ROW('03.Muestra'!$D$8:$D$42))+1,""),ROW()-360)),"")</f>
        <v/>
      </c>
      <c r="C368" s="114" t="str" cm="1">
        <f t="array" ref="C368">IFERROR(INDEX('03.Muestra'!$F$8:$F$42,SMALL(IF("Página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IFERROR(INDEX('03.Muestra'!$B$8:$B$42,SMALL(IF("Página Web"='03.Muestra'!$D$8:$D$42,ROW('03.Muestra'!$B$8:$B$42)-MIN(ROW('03.Muestra'!$D$8:$D$42))+1,""),ROW()-360)),"")</f>
        <v/>
      </c>
      <c r="B369" s="114" t="str" cm="1">
        <f t="array" ref="B369">IFERROR(INDEX('03.Muestra'!$C$8:$C$42,SMALL(IF("Página Web"='03.Muestra'!$D$8:$D$42,ROW('03.Muestra'!$C$8:$C$42)-MIN(ROW('03.Muestra'!$D$8:$D$42))+1,""),ROW()-360)),"")</f>
        <v/>
      </c>
      <c r="C369" s="114" t="str" cm="1">
        <f t="array" ref="C369">IFERROR(INDEX('03.Muestra'!$F$8:$F$42,SMALL(IF("Página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IFERROR(INDEX('03.Muestra'!$B$8:$B$42,SMALL(IF("Página Web"='03.Muestra'!$D$8:$D$42,ROW('03.Muestra'!$B$8:$B$42)-MIN(ROW('03.Muestra'!$D$8:$D$42))+1,""),ROW()-360)),"")</f>
        <v/>
      </c>
      <c r="B370" s="114" t="str" cm="1">
        <f t="array" ref="B370">IFERROR(INDEX('03.Muestra'!$C$8:$C$42,SMALL(IF("Página Web"='03.Muestra'!$D$8:$D$42,ROW('03.Muestra'!$C$8:$C$42)-MIN(ROW('03.Muestra'!$D$8:$D$42))+1,""),ROW()-360)),"")</f>
        <v/>
      </c>
      <c r="C370" s="114" t="str" cm="1">
        <f t="array" ref="C370">IFERROR(INDEX('03.Muestra'!$F$8:$F$42,SMALL(IF("Página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IFERROR(INDEX('03.Muestra'!$B$8:$B$42,SMALL(IF("Página Web"='03.Muestra'!$D$8:$D$42,ROW('03.Muestra'!$B$8:$B$42)-MIN(ROW('03.Muestra'!$D$8:$D$42))+1,""),ROW()-360)),"")</f>
        <v/>
      </c>
      <c r="B371" s="114" t="str" cm="1">
        <f t="array" ref="B371">IFERROR(INDEX('03.Muestra'!$C$8:$C$42,SMALL(IF("Página Web"='03.Muestra'!$D$8:$D$42,ROW('03.Muestra'!$C$8:$C$42)-MIN(ROW('03.Muestra'!$D$8:$D$42))+1,""),ROW()-360)),"")</f>
        <v/>
      </c>
      <c r="C371" s="114" t="str" cm="1">
        <f t="array" ref="C371">IFERROR(INDEX('03.Muestra'!$F$8:$F$42,SMALL(IF("Página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IFERROR(INDEX('03.Muestra'!$B$8:$B$42,SMALL(IF("Página Web"='03.Muestra'!$D$8:$D$42,ROW('03.Muestra'!$B$8:$B$42)-MIN(ROW('03.Muestra'!$D$8:$D$42))+1,""),ROW()-360)),"")</f>
        <v/>
      </c>
      <c r="B372" s="114" t="str" cm="1">
        <f t="array" ref="B372">IFERROR(INDEX('03.Muestra'!$C$8:$C$42,SMALL(IF("Página Web"='03.Muestra'!$D$8:$D$42,ROW('03.Muestra'!$C$8:$C$42)-MIN(ROW('03.Muestra'!$D$8:$D$42))+1,""),ROW()-360)),"")</f>
        <v/>
      </c>
      <c r="C372" s="114" t="str" cm="1">
        <f t="array" ref="C372">IFERROR(INDEX('03.Muestra'!$F$8:$F$42,SMALL(IF("Página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t="str" cm="1">
        <f t="array" ref="A373">IFERROR(INDEX('03.Muestra'!$B$8:$B$42,SMALL(IF("Página Web"='03.Muestra'!$D$8:$D$42,ROW('03.Muestra'!$B$8:$B$42)-MIN(ROW('03.Muestra'!$D$8:$D$42))+1,""),ROW()-360)),"")</f>
        <v/>
      </c>
      <c r="B373" s="114" t="str" cm="1">
        <f t="array" ref="B373">IFERROR(INDEX('03.Muestra'!$C$8:$C$42,SMALL(IF("Página Web"='03.Muestra'!$D$8:$D$42,ROW('03.Muestra'!$C$8:$C$42)-MIN(ROW('03.Muestra'!$D$8:$D$42))+1,""),ROW()-360)),"")</f>
        <v/>
      </c>
      <c r="C373" s="114" t="str" cm="1">
        <f t="array" ref="C373">IFERROR(INDEX('03.Muestra'!$F$8:$F$42,SMALL(IF("Página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t="str" cm="1">
        <f t="array" ref="A374">IFERROR(INDEX('03.Muestra'!$B$8:$B$42,SMALL(IF("Página Web"='03.Muestra'!$D$8:$D$42,ROW('03.Muestra'!$B$8:$B$42)-MIN(ROW('03.Muestra'!$D$8:$D$42))+1,""),ROW()-360)),"")</f>
        <v/>
      </c>
      <c r="B374" s="114" t="str" cm="1">
        <f t="array" ref="B374">IFERROR(INDEX('03.Muestra'!$C$8:$C$42,SMALL(IF("Página Web"='03.Muestra'!$D$8:$D$42,ROW('03.Muestra'!$C$8:$C$42)-MIN(ROW('03.Muestra'!$D$8:$D$42))+1,""),ROW()-360)),"")</f>
        <v/>
      </c>
      <c r="C374" s="114" t="str" cm="1">
        <f t="array" ref="C374">IFERROR(INDEX('03.Muestra'!$F$8:$F$42,SMALL(IF("Página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t="str" cm="1">
        <f t="array" ref="A375">IFERROR(INDEX('03.Muestra'!$B$8:$B$42,SMALL(IF("Página Web"='03.Muestra'!$D$8:$D$42,ROW('03.Muestra'!$B$8:$B$42)-MIN(ROW('03.Muestra'!$D$8:$D$42))+1,""),ROW()-360)),"")</f>
        <v/>
      </c>
      <c r="B375" s="114" t="str" cm="1">
        <f t="array" ref="B375">IFERROR(INDEX('03.Muestra'!$C$8:$C$42,SMALL(IF("Página Web"='03.Muestra'!$D$8:$D$42,ROW('03.Muestra'!$C$8:$C$42)-MIN(ROW('03.Muestra'!$D$8:$D$42))+1,""),ROW()-360)),"")</f>
        <v/>
      </c>
      <c r="C375" s="114" t="str" cm="1">
        <f t="array" ref="C375">IFERROR(INDEX('03.Muestra'!$F$8:$F$42,SMALL(IF("Página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http://www.madrid.org/presupuestos</v>
      </c>
      <c r="D399" s="130" t="s">
        <v>26</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Menu 1</v>
      </c>
      <c r="C400" s="114" t="str" cm="1">
        <f t="array" ref="C400">IFERROR(INDEX('03.Muestra'!$F$8:$F$42,SMALL(IF("Página Web"='03.Muestra'!$D$8:$D$42,ROW('03.Muestra'!$F$8:$F$42)-MIN(ROW('03.Muestra'!$D$8:$D$42))+1,""),ROW()-398)),"")</f>
        <v>http://www.madrid.org/presupuestos/index.php/presupuestos-generales/presupuestos-cm/2022</v>
      </c>
      <c r="D400" s="130" t="s">
        <v>26</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5</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Menu 2</v>
      </c>
      <c r="C401" s="114" t="str" cm="1">
        <f t="array" ref="C401">IFERROR(INDEX('03.Muestra'!$F$8:$F$42,SMALL(IF("Página Web"='03.Muestra'!$D$8:$D$42,ROW('03.Muestra'!$F$8:$F$42)-MIN(ROW('03.Muestra'!$D$8:$D$42))+1,""),ROW()-398)),"")</f>
        <v>http://www.madrid.org/presupuestos/index.php/ejecucion-presupuestaria</v>
      </c>
      <c r="D401" s="130" t="s">
        <v>26</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Menu 3</v>
      </c>
      <c r="C402" s="114" t="str" cm="1">
        <f t="array" ref="C402">IFERROR(INDEX('03.Muestra'!$F$8:$F$42,SMALL(IF("Página Web"='03.Muestra'!$D$8:$D$42,ROW('03.Muestra'!$F$8:$F$42)-MIN(ROW('03.Muestra'!$D$8:$D$42))+1,""),ROW()-398)),"")</f>
        <v>http://www.madrid.org/presupuestos/index.php/transparencia</v>
      </c>
      <c r="D402" s="130" t="s">
        <v>26</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Accesibilidad</v>
      </c>
      <c r="C403" s="114" t="str" cm="1">
        <f t="array" ref="C403">IFERROR(INDEX('03.Muestra'!$F$8:$F$42,SMALL(IF("Página Web"='03.Muestra'!$D$8:$D$42,ROW('03.Muestra'!$F$8:$F$42)-MIN(ROW('03.Muestra'!$D$8:$D$42))+1,""),ROW()-398)),"")</f>
        <v>http://www.madrid.org/presupuestos/index.php/accesibilidad-web</v>
      </c>
      <c r="D403" s="130" t="s">
        <v>26</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IFERROR(INDEX('03.Muestra'!$B$8:$B$42,SMALL(IF("Página Web"='03.Muestra'!$D$8:$D$42,ROW('03.Muestra'!$B$8:$B$42)-MIN(ROW('03.Muestra'!$D$8:$D$42))+1,""),ROW()-398)),"")</f>
        <v/>
      </c>
      <c r="B404" s="114" t="str" cm="1">
        <f t="array" ref="B404">IFERROR(INDEX('03.Muestra'!$C$8:$C$42,SMALL(IF("Página Web"='03.Muestra'!$D$8:$D$42,ROW('03.Muestra'!$C$8:$C$42)-MIN(ROW('03.Muestra'!$D$8:$D$42))+1,""),ROW()-398)),"")</f>
        <v/>
      </c>
      <c r="C404" s="114" t="str" cm="1">
        <f t="array" ref="C404">IFERROR(INDEX('03.Muestra'!$F$8:$F$42,SMALL(IF("Página Web"='03.Muestra'!$D$8:$D$42,ROW('03.Muestra'!$F$8:$F$42)-MIN(ROW('03.Muestra'!$D$8:$D$42))+1,""),ROW()-398)),"")</f>
        <v/>
      </c>
      <c r="D404" s="130" t="str">
        <f t="shared" ref="D404:D433" si="21">IF(AND(B404&lt;&gt;"",C404&lt;&gt;""),"N/T","")</f>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IFERROR(INDEX('03.Muestra'!$B$8:$B$42,SMALL(IF("Página Web"='03.Muestra'!$D$8:$D$42,ROW('03.Muestra'!$B$8:$B$42)-MIN(ROW('03.Muestra'!$D$8:$D$42))+1,""),ROW()-398)),"")</f>
        <v/>
      </c>
      <c r="B405" s="114" t="str" cm="1">
        <f t="array" ref="B405">IFERROR(INDEX('03.Muestra'!$C$8:$C$42,SMALL(IF("Página Web"='03.Muestra'!$D$8:$D$42,ROW('03.Muestra'!$C$8:$C$42)-MIN(ROW('03.Muestra'!$D$8:$D$42))+1,""),ROW()-398)),"")</f>
        <v/>
      </c>
      <c r="C405" s="114" t="str" cm="1">
        <f t="array" ref="C405">IFERROR(INDEX('03.Muestra'!$F$8:$F$42,SMALL(IF("Página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IFERROR(INDEX('03.Muestra'!$B$8:$B$42,SMALL(IF("Página Web"='03.Muestra'!$D$8:$D$42,ROW('03.Muestra'!$B$8:$B$42)-MIN(ROW('03.Muestra'!$D$8:$D$42))+1,""),ROW()-398)),"")</f>
        <v/>
      </c>
      <c r="B406" s="114" t="str" cm="1">
        <f t="array" ref="B406">IFERROR(INDEX('03.Muestra'!$C$8:$C$42,SMALL(IF("Página Web"='03.Muestra'!$D$8:$D$42,ROW('03.Muestra'!$C$8:$C$42)-MIN(ROW('03.Muestra'!$D$8:$D$42))+1,""),ROW()-398)),"")</f>
        <v/>
      </c>
      <c r="C406" s="114" t="str" cm="1">
        <f t="array" ref="C406">IFERROR(INDEX('03.Muestra'!$F$8:$F$42,SMALL(IF("Página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IFERROR(INDEX('03.Muestra'!$B$8:$B$42,SMALL(IF("Página Web"='03.Muestra'!$D$8:$D$42,ROW('03.Muestra'!$B$8:$B$42)-MIN(ROW('03.Muestra'!$D$8:$D$42))+1,""),ROW()-398)),"")</f>
        <v/>
      </c>
      <c r="B407" s="114" t="str" cm="1">
        <f t="array" ref="B407">IFERROR(INDEX('03.Muestra'!$C$8:$C$42,SMALL(IF("Página Web"='03.Muestra'!$D$8:$D$42,ROW('03.Muestra'!$C$8:$C$42)-MIN(ROW('03.Muestra'!$D$8:$D$42))+1,""),ROW()-398)),"")</f>
        <v/>
      </c>
      <c r="C407" s="114" t="str" cm="1">
        <f t="array" ref="C407">IFERROR(INDEX('03.Muestra'!$F$8:$F$42,SMALL(IF("Página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IFERROR(INDEX('03.Muestra'!$B$8:$B$42,SMALL(IF("Página Web"='03.Muestra'!$D$8:$D$42,ROW('03.Muestra'!$B$8:$B$42)-MIN(ROW('03.Muestra'!$D$8:$D$42))+1,""),ROW()-398)),"")</f>
        <v/>
      </c>
      <c r="B408" s="114" t="str" cm="1">
        <f t="array" ref="B408">IFERROR(INDEX('03.Muestra'!$C$8:$C$42,SMALL(IF("Página Web"='03.Muestra'!$D$8:$D$42,ROW('03.Muestra'!$C$8:$C$42)-MIN(ROW('03.Muestra'!$D$8:$D$42))+1,""),ROW()-398)),"")</f>
        <v/>
      </c>
      <c r="C408" s="114" t="str" cm="1">
        <f t="array" ref="C408">IFERROR(INDEX('03.Muestra'!$F$8:$F$42,SMALL(IF("Página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IFERROR(INDEX('03.Muestra'!$B$8:$B$42,SMALL(IF("Página Web"='03.Muestra'!$D$8:$D$42,ROW('03.Muestra'!$B$8:$B$42)-MIN(ROW('03.Muestra'!$D$8:$D$42))+1,""),ROW()-398)),"")</f>
        <v/>
      </c>
      <c r="B409" s="114" t="str" cm="1">
        <f t="array" ref="B409">IFERROR(INDEX('03.Muestra'!$C$8:$C$42,SMALL(IF("Página Web"='03.Muestra'!$D$8:$D$42,ROW('03.Muestra'!$C$8:$C$42)-MIN(ROW('03.Muestra'!$D$8:$D$42))+1,""),ROW()-398)),"")</f>
        <v/>
      </c>
      <c r="C409" s="114" t="str" cm="1">
        <f t="array" ref="C409">IFERROR(INDEX('03.Muestra'!$F$8:$F$42,SMALL(IF("Página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IFERROR(INDEX('03.Muestra'!$B$8:$B$42,SMALL(IF("Página Web"='03.Muestra'!$D$8:$D$42,ROW('03.Muestra'!$B$8:$B$42)-MIN(ROW('03.Muestra'!$D$8:$D$42))+1,""),ROW()-398)),"")</f>
        <v/>
      </c>
      <c r="B410" s="114" t="str" cm="1">
        <f t="array" ref="B410">IFERROR(INDEX('03.Muestra'!$C$8:$C$42,SMALL(IF("Página Web"='03.Muestra'!$D$8:$D$42,ROW('03.Muestra'!$C$8:$C$42)-MIN(ROW('03.Muestra'!$D$8:$D$42))+1,""),ROW()-398)),"")</f>
        <v/>
      </c>
      <c r="C410" s="114" t="str" cm="1">
        <f t="array" ref="C410">IFERROR(INDEX('03.Muestra'!$F$8:$F$42,SMALL(IF("Página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t="str" cm="1">
        <f t="array" ref="A411">IFERROR(INDEX('03.Muestra'!$B$8:$B$42,SMALL(IF("Página Web"='03.Muestra'!$D$8:$D$42,ROW('03.Muestra'!$B$8:$B$42)-MIN(ROW('03.Muestra'!$D$8:$D$42))+1,""),ROW()-398)),"")</f>
        <v/>
      </c>
      <c r="B411" s="114" t="str" cm="1">
        <f t="array" ref="B411">IFERROR(INDEX('03.Muestra'!$C$8:$C$42,SMALL(IF("Página Web"='03.Muestra'!$D$8:$D$42,ROW('03.Muestra'!$C$8:$C$42)-MIN(ROW('03.Muestra'!$D$8:$D$42))+1,""),ROW()-398)),"")</f>
        <v/>
      </c>
      <c r="C411" s="114" t="str" cm="1">
        <f t="array" ref="C411">IFERROR(INDEX('03.Muestra'!$F$8:$F$42,SMALL(IF("Página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t="str" cm="1">
        <f t="array" ref="A412">IFERROR(INDEX('03.Muestra'!$B$8:$B$42,SMALL(IF("Página Web"='03.Muestra'!$D$8:$D$42,ROW('03.Muestra'!$B$8:$B$42)-MIN(ROW('03.Muestra'!$D$8:$D$42))+1,""),ROW()-398)),"")</f>
        <v/>
      </c>
      <c r="B412" s="114" t="str" cm="1">
        <f t="array" ref="B412">IFERROR(INDEX('03.Muestra'!$C$8:$C$42,SMALL(IF("Página Web"='03.Muestra'!$D$8:$D$42,ROW('03.Muestra'!$C$8:$C$42)-MIN(ROW('03.Muestra'!$D$8:$D$42))+1,""),ROW()-398)),"")</f>
        <v/>
      </c>
      <c r="C412" s="114" t="str" cm="1">
        <f t="array" ref="C412">IFERROR(INDEX('03.Muestra'!$F$8:$F$42,SMALL(IF("Página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t="str" cm="1">
        <f t="array" ref="A413">IFERROR(INDEX('03.Muestra'!$B$8:$B$42,SMALL(IF("Página Web"='03.Muestra'!$D$8:$D$42,ROW('03.Muestra'!$B$8:$B$42)-MIN(ROW('03.Muestra'!$D$8:$D$42))+1,""),ROW()-398)),"")</f>
        <v/>
      </c>
      <c r="B413" s="114" t="str" cm="1">
        <f t="array" ref="B413">IFERROR(INDEX('03.Muestra'!$C$8:$C$42,SMALL(IF("Página Web"='03.Muestra'!$D$8:$D$42,ROW('03.Muestra'!$C$8:$C$42)-MIN(ROW('03.Muestra'!$D$8:$D$42))+1,""),ROW()-398)),"")</f>
        <v/>
      </c>
      <c r="C413" s="114" t="str" cm="1">
        <f t="array" ref="C413">IFERROR(INDEX('03.Muestra'!$F$8:$F$42,SMALL(IF("Página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http://www.madrid.org/presupuestos</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Menu 1</v>
      </c>
      <c r="C438" s="114" t="str" cm="1">
        <f t="array" ref="C438">IFERROR(INDEX('03.Muestra'!$F$8:$F$42,SMALL(IF("Página Web"='03.Muestra'!$D$8:$D$42,ROW('03.Muestra'!$F$8:$F$42)-MIN(ROW('03.Muestra'!$D$8:$D$42))+1,""),ROW()-436)),"")</f>
        <v>http://www.madrid.org/presupuestos/index.php/presupuestos-generales/presupuestos-cm/2022</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5</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Menu 2</v>
      </c>
      <c r="C439" s="114" t="str" cm="1">
        <f t="array" ref="C439">IFERROR(INDEX('03.Muestra'!$F$8:$F$42,SMALL(IF("Página Web"='03.Muestra'!$D$8:$D$42,ROW('03.Muestra'!$F$8:$F$42)-MIN(ROW('03.Muestra'!$D$8:$D$42))+1,""),ROW()-436)),"")</f>
        <v>http://www.madrid.org/presupuestos/index.php/ejecucion-presupuestaria</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Menu 3</v>
      </c>
      <c r="C440" s="114" t="str" cm="1">
        <f t="array" ref="C440">IFERROR(INDEX('03.Muestra'!$F$8:$F$42,SMALL(IF("Página Web"='03.Muestra'!$D$8:$D$42,ROW('03.Muestra'!$F$8:$F$42)-MIN(ROW('03.Muestra'!$D$8:$D$42))+1,""),ROW()-436)),"")</f>
        <v>http://www.madrid.org/presupuestos/index.php/transparencia</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Accesibilidad</v>
      </c>
      <c r="C441" s="114" t="str" cm="1">
        <f t="array" ref="C441">IFERROR(INDEX('03.Muestra'!$F$8:$F$42,SMALL(IF("Página Web"='03.Muestra'!$D$8:$D$42,ROW('03.Muestra'!$F$8:$F$42)-MIN(ROW('03.Muestra'!$D$8:$D$42))+1,""),ROW()-436)),"")</f>
        <v>http://www.madrid.org/presupuestos/index.php/accesibilidad-web</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IFERROR(INDEX('03.Muestra'!$B$8:$B$42,SMALL(IF("Página Web"='03.Muestra'!$D$8:$D$42,ROW('03.Muestra'!$B$8:$B$42)-MIN(ROW('03.Muestra'!$D$8:$D$42))+1,""),ROW()-436)),"")</f>
        <v/>
      </c>
      <c r="B442" s="114" t="str" cm="1">
        <f t="array" ref="B442">IFERROR(INDEX('03.Muestra'!$C$8:$C$42,SMALL(IF("Página Web"='03.Muestra'!$D$8:$D$42,ROW('03.Muestra'!$C$8:$C$42)-MIN(ROW('03.Muestra'!$D$8:$D$42))+1,""),ROW()-436)),"")</f>
        <v/>
      </c>
      <c r="C442" s="114" t="str" cm="1">
        <f t="array" ref="C442">IFERROR(INDEX('03.Muestra'!$F$8:$F$42,SMALL(IF("Página Web"='03.Muestra'!$D$8:$D$42,ROW('03.Muestra'!$F$8:$F$42)-MIN(ROW('03.Muestra'!$D$8:$D$42))+1,""),ROW()-436)),"")</f>
        <v/>
      </c>
      <c r="D442" s="130" t="str">
        <f t="shared" ref="D442:D471" si="23">IF(AND(B442&lt;&gt;"",C442&lt;&gt;""),"N/T","")</f>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IFERROR(INDEX('03.Muestra'!$B$8:$B$42,SMALL(IF("Página Web"='03.Muestra'!$D$8:$D$42,ROW('03.Muestra'!$B$8:$B$42)-MIN(ROW('03.Muestra'!$D$8:$D$42))+1,""),ROW()-436)),"")</f>
        <v/>
      </c>
      <c r="B443" s="114" t="str" cm="1">
        <f t="array" ref="B443">IFERROR(INDEX('03.Muestra'!$C$8:$C$42,SMALL(IF("Página Web"='03.Muestra'!$D$8:$D$42,ROW('03.Muestra'!$C$8:$C$42)-MIN(ROW('03.Muestra'!$D$8:$D$42))+1,""),ROW()-436)),"")</f>
        <v/>
      </c>
      <c r="C443" s="114" t="str" cm="1">
        <f t="array" ref="C443">IFERROR(INDEX('03.Muestra'!$F$8:$F$42,SMALL(IF("Página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IFERROR(INDEX('03.Muestra'!$B$8:$B$42,SMALL(IF("Página Web"='03.Muestra'!$D$8:$D$42,ROW('03.Muestra'!$B$8:$B$42)-MIN(ROW('03.Muestra'!$D$8:$D$42))+1,""),ROW()-436)),"")</f>
        <v/>
      </c>
      <c r="B444" s="114" t="str" cm="1">
        <f t="array" ref="B444">IFERROR(INDEX('03.Muestra'!$C$8:$C$42,SMALL(IF("Página Web"='03.Muestra'!$D$8:$D$42,ROW('03.Muestra'!$C$8:$C$42)-MIN(ROW('03.Muestra'!$D$8:$D$42))+1,""),ROW()-436)),"")</f>
        <v/>
      </c>
      <c r="C444" s="114" t="str" cm="1">
        <f t="array" ref="C444">IFERROR(INDEX('03.Muestra'!$F$8:$F$42,SMALL(IF("Página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IFERROR(INDEX('03.Muestra'!$B$8:$B$42,SMALL(IF("Página Web"='03.Muestra'!$D$8:$D$42,ROW('03.Muestra'!$B$8:$B$42)-MIN(ROW('03.Muestra'!$D$8:$D$42))+1,""),ROW()-436)),"")</f>
        <v/>
      </c>
      <c r="B445" s="114" t="str" cm="1">
        <f t="array" ref="B445">IFERROR(INDEX('03.Muestra'!$C$8:$C$42,SMALL(IF("Página Web"='03.Muestra'!$D$8:$D$42,ROW('03.Muestra'!$C$8:$C$42)-MIN(ROW('03.Muestra'!$D$8:$D$42))+1,""),ROW()-436)),"")</f>
        <v/>
      </c>
      <c r="C445" s="114" t="str" cm="1">
        <f t="array" ref="C445">IFERROR(INDEX('03.Muestra'!$F$8:$F$42,SMALL(IF("Página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IFERROR(INDEX('03.Muestra'!$B$8:$B$42,SMALL(IF("Página Web"='03.Muestra'!$D$8:$D$42,ROW('03.Muestra'!$B$8:$B$42)-MIN(ROW('03.Muestra'!$D$8:$D$42))+1,""),ROW()-436)),"")</f>
        <v/>
      </c>
      <c r="B446" s="114" t="str" cm="1">
        <f t="array" ref="B446">IFERROR(INDEX('03.Muestra'!$C$8:$C$42,SMALL(IF("Página Web"='03.Muestra'!$D$8:$D$42,ROW('03.Muestra'!$C$8:$C$42)-MIN(ROW('03.Muestra'!$D$8:$D$42))+1,""),ROW()-436)),"")</f>
        <v/>
      </c>
      <c r="C446" s="114" t="str" cm="1">
        <f t="array" ref="C446">IFERROR(INDEX('03.Muestra'!$F$8:$F$42,SMALL(IF("Página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IFERROR(INDEX('03.Muestra'!$B$8:$B$42,SMALL(IF("Página Web"='03.Muestra'!$D$8:$D$42,ROW('03.Muestra'!$B$8:$B$42)-MIN(ROW('03.Muestra'!$D$8:$D$42))+1,""),ROW()-436)),"")</f>
        <v/>
      </c>
      <c r="B447" s="114" t="str" cm="1">
        <f t="array" ref="B447">IFERROR(INDEX('03.Muestra'!$C$8:$C$42,SMALL(IF("Página Web"='03.Muestra'!$D$8:$D$42,ROW('03.Muestra'!$C$8:$C$42)-MIN(ROW('03.Muestra'!$D$8:$D$42))+1,""),ROW()-436)),"")</f>
        <v/>
      </c>
      <c r="C447" s="114" t="str" cm="1">
        <f t="array" ref="C447">IFERROR(INDEX('03.Muestra'!$F$8:$F$42,SMALL(IF("Página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IFERROR(INDEX('03.Muestra'!$B$8:$B$42,SMALL(IF("Página Web"='03.Muestra'!$D$8:$D$42,ROW('03.Muestra'!$B$8:$B$42)-MIN(ROW('03.Muestra'!$D$8:$D$42))+1,""),ROW()-436)),"")</f>
        <v/>
      </c>
      <c r="B448" s="114" t="str" cm="1">
        <f t="array" ref="B448">IFERROR(INDEX('03.Muestra'!$C$8:$C$42,SMALL(IF("Página Web"='03.Muestra'!$D$8:$D$42,ROW('03.Muestra'!$C$8:$C$42)-MIN(ROW('03.Muestra'!$D$8:$D$42))+1,""),ROW()-436)),"")</f>
        <v/>
      </c>
      <c r="C448" s="114" t="str" cm="1">
        <f t="array" ref="C448">IFERROR(INDEX('03.Muestra'!$F$8:$F$42,SMALL(IF("Página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t="str" cm="1">
        <f t="array" ref="A449">IFERROR(INDEX('03.Muestra'!$B$8:$B$42,SMALL(IF("Página Web"='03.Muestra'!$D$8:$D$42,ROW('03.Muestra'!$B$8:$B$42)-MIN(ROW('03.Muestra'!$D$8:$D$42))+1,""),ROW()-436)),"")</f>
        <v/>
      </c>
      <c r="B449" s="114" t="str" cm="1">
        <f t="array" ref="B449">IFERROR(INDEX('03.Muestra'!$C$8:$C$42,SMALL(IF("Página Web"='03.Muestra'!$D$8:$D$42,ROW('03.Muestra'!$C$8:$C$42)-MIN(ROW('03.Muestra'!$D$8:$D$42))+1,""),ROW()-436)),"")</f>
        <v/>
      </c>
      <c r="C449" s="114" t="str" cm="1">
        <f t="array" ref="C449">IFERROR(INDEX('03.Muestra'!$F$8:$F$42,SMALL(IF("Página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t="str" cm="1">
        <f t="array" ref="A450">IFERROR(INDEX('03.Muestra'!$B$8:$B$42,SMALL(IF("Página Web"='03.Muestra'!$D$8:$D$42,ROW('03.Muestra'!$B$8:$B$42)-MIN(ROW('03.Muestra'!$D$8:$D$42))+1,""),ROW()-436)),"")</f>
        <v/>
      </c>
      <c r="B450" s="114" t="str" cm="1">
        <f t="array" ref="B450">IFERROR(INDEX('03.Muestra'!$C$8:$C$42,SMALL(IF("Página Web"='03.Muestra'!$D$8:$D$42,ROW('03.Muestra'!$C$8:$C$42)-MIN(ROW('03.Muestra'!$D$8:$D$42))+1,""),ROW()-436)),"")</f>
        <v/>
      </c>
      <c r="C450" s="114" t="str" cm="1">
        <f t="array" ref="C450">IFERROR(INDEX('03.Muestra'!$F$8:$F$42,SMALL(IF("Página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t="str" cm="1">
        <f t="array" ref="A451">IFERROR(INDEX('03.Muestra'!$B$8:$B$42,SMALL(IF("Página Web"='03.Muestra'!$D$8:$D$42,ROW('03.Muestra'!$B$8:$B$42)-MIN(ROW('03.Muestra'!$D$8:$D$42))+1,""),ROW()-436)),"")</f>
        <v/>
      </c>
      <c r="B451" s="114" t="str" cm="1">
        <f t="array" ref="B451">IFERROR(INDEX('03.Muestra'!$C$8:$C$42,SMALL(IF("Página Web"='03.Muestra'!$D$8:$D$42,ROW('03.Muestra'!$C$8:$C$42)-MIN(ROW('03.Muestra'!$D$8:$D$42))+1,""),ROW()-436)),"")</f>
        <v/>
      </c>
      <c r="C451" s="114" t="str" cm="1">
        <f t="array" ref="C451">IFERROR(INDEX('03.Muestra'!$F$8:$F$42,SMALL(IF("Página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http://www.madrid.org/presupuestos</v>
      </c>
      <c r="D475" s="130" t="s">
        <v>28</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Menu 1</v>
      </c>
      <c r="C476" s="114" t="str" cm="1">
        <f t="array" ref="C476">IFERROR(INDEX('03.Muestra'!$F$8:$F$42,SMALL(IF("Página Web"='03.Muestra'!$D$8:$D$42,ROW('03.Muestra'!$F$8:$F$42)-MIN(ROW('03.Muestra'!$D$8:$D$42))+1,""),ROW()-474)),"")</f>
        <v>http://www.madrid.org/presupuestos/index.php/presupuestos-generales/presupuestos-cm/2022</v>
      </c>
      <c r="D476" s="130" t="s">
        <v>28</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5</v>
      </c>
      <c r="J476" s="120">
        <f ca="1">COUNTIF($D475:INDIRECT("$D" &amp;  SUM(ROW()-1,'03.Muestra'!$D$45)-1),J475)</f>
        <v>0</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Menu 2</v>
      </c>
      <c r="C477" s="114" t="str" cm="1">
        <f t="array" ref="C477">IFERROR(INDEX('03.Muestra'!$F$8:$F$42,SMALL(IF("Página Web"='03.Muestra'!$D$8:$D$42,ROW('03.Muestra'!$F$8:$F$42)-MIN(ROW('03.Muestra'!$D$8:$D$42))+1,""),ROW()-474)),"")</f>
        <v>http://www.madrid.org/presupuestos/index.php/ejecucion-presupuestaria</v>
      </c>
      <c r="D477" s="130" t="s">
        <v>28</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Menu 3</v>
      </c>
      <c r="C478" s="114" t="str" cm="1">
        <f t="array" ref="C478">IFERROR(INDEX('03.Muestra'!$F$8:$F$42,SMALL(IF("Página Web"='03.Muestra'!$D$8:$D$42,ROW('03.Muestra'!$F$8:$F$42)-MIN(ROW('03.Muestra'!$D$8:$D$42))+1,""),ROW()-474)),"")</f>
        <v>http://www.madrid.org/presupuestos/index.php/transparencia</v>
      </c>
      <c r="D478" s="130" t="s">
        <v>28</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Accesibilidad</v>
      </c>
      <c r="C479" s="114" t="str" cm="1">
        <f t="array" ref="C479">IFERROR(INDEX('03.Muestra'!$F$8:$F$42,SMALL(IF("Página Web"='03.Muestra'!$D$8:$D$42,ROW('03.Muestra'!$F$8:$F$42)-MIN(ROW('03.Muestra'!$D$8:$D$42))+1,""),ROW()-474)),"")</f>
        <v>http://www.madrid.org/presupuestos/index.php/accesibilidad-web</v>
      </c>
      <c r="D479" s="130" t="s">
        <v>28</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IFERROR(INDEX('03.Muestra'!$B$8:$B$42,SMALL(IF("Página Web"='03.Muestra'!$D$8:$D$42,ROW('03.Muestra'!$B$8:$B$42)-MIN(ROW('03.Muestra'!$D$8:$D$42))+1,""),ROW()-474)),"")</f>
        <v/>
      </c>
      <c r="B480" s="114" t="str" cm="1">
        <f t="array" ref="B480">IFERROR(INDEX('03.Muestra'!$C$8:$C$42,SMALL(IF("Página Web"='03.Muestra'!$D$8:$D$42,ROW('03.Muestra'!$C$8:$C$42)-MIN(ROW('03.Muestra'!$D$8:$D$42))+1,""),ROW()-474)),"")</f>
        <v/>
      </c>
      <c r="C480" s="114" t="str" cm="1">
        <f t="array" ref="C480">IFERROR(INDEX('03.Muestra'!$F$8:$F$42,SMALL(IF("Página Web"='03.Muestra'!$D$8:$D$42,ROW('03.Muestra'!$F$8:$F$42)-MIN(ROW('03.Muestra'!$D$8:$D$42))+1,""),ROW()-474)),"")</f>
        <v/>
      </c>
      <c r="D480" s="130" t="str">
        <f t="shared" ref="D480:D509" si="25">IF(AND(B480&lt;&gt;"",C480&lt;&gt;""),"N/T","")</f>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IFERROR(INDEX('03.Muestra'!$B$8:$B$42,SMALL(IF("Página Web"='03.Muestra'!$D$8:$D$42,ROW('03.Muestra'!$B$8:$B$42)-MIN(ROW('03.Muestra'!$D$8:$D$42))+1,""),ROW()-474)),"")</f>
        <v/>
      </c>
      <c r="B481" s="114" t="str" cm="1">
        <f t="array" ref="B481">IFERROR(INDEX('03.Muestra'!$C$8:$C$42,SMALL(IF("Página Web"='03.Muestra'!$D$8:$D$42,ROW('03.Muestra'!$C$8:$C$42)-MIN(ROW('03.Muestra'!$D$8:$D$42))+1,""),ROW()-474)),"")</f>
        <v/>
      </c>
      <c r="C481" s="114" t="str" cm="1">
        <f t="array" ref="C481">IFERROR(INDEX('03.Muestra'!$F$8:$F$42,SMALL(IF("Página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IFERROR(INDEX('03.Muestra'!$B$8:$B$42,SMALL(IF("Página Web"='03.Muestra'!$D$8:$D$42,ROW('03.Muestra'!$B$8:$B$42)-MIN(ROW('03.Muestra'!$D$8:$D$42))+1,""),ROW()-474)),"")</f>
        <v/>
      </c>
      <c r="B482" s="114" t="str" cm="1">
        <f t="array" ref="B482">IFERROR(INDEX('03.Muestra'!$C$8:$C$42,SMALL(IF("Página Web"='03.Muestra'!$D$8:$D$42,ROW('03.Muestra'!$C$8:$C$42)-MIN(ROW('03.Muestra'!$D$8:$D$42))+1,""),ROW()-474)),"")</f>
        <v/>
      </c>
      <c r="C482" s="114" t="str" cm="1">
        <f t="array" ref="C482">IFERROR(INDEX('03.Muestra'!$F$8:$F$42,SMALL(IF("Página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IFERROR(INDEX('03.Muestra'!$B$8:$B$42,SMALL(IF("Página Web"='03.Muestra'!$D$8:$D$42,ROW('03.Muestra'!$B$8:$B$42)-MIN(ROW('03.Muestra'!$D$8:$D$42))+1,""),ROW()-474)),"")</f>
        <v/>
      </c>
      <c r="B483" s="114" t="str" cm="1">
        <f t="array" ref="B483">IFERROR(INDEX('03.Muestra'!$C$8:$C$42,SMALL(IF("Página Web"='03.Muestra'!$D$8:$D$42,ROW('03.Muestra'!$C$8:$C$42)-MIN(ROW('03.Muestra'!$D$8:$D$42))+1,""),ROW()-474)),"")</f>
        <v/>
      </c>
      <c r="C483" s="114" t="str" cm="1">
        <f t="array" ref="C483">IFERROR(INDEX('03.Muestra'!$F$8:$F$42,SMALL(IF("Página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IFERROR(INDEX('03.Muestra'!$B$8:$B$42,SMALL(IF("Página Web"='03.Muestra'!$D$8:$D$42,ROW('03.Muestra'!$B$8:$B$42)-MIN(ROW('03.Muestra'!$D$8:$D$42))+1,""),ROW()-474)),"")</f>
        <v/>
      </c>
      <c r="B484" s="114" t="str" cm="1">
        <f t="array" ref="B484">IFERROR(INDEX('03.Muestra'!$C$8:$C$42,SMALL(IF("Página Web"='03.Muestra'!$D$8:$D$42,ROW('03.Muestra'!$C$8:$C$42)-MIN(ROW('03.Muestra'!$D$8:$D$42))+1,""),ROW()-474)),"")</f>
        <v/>
      </c>
      <c r="C484" s="114" t="str" cm="1">
        <f t="array" ref="C484">IFERROR(INDEX('03.Muestra'!$F$8:$F$42,SMALL(IF("Página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IFERROR(INDEX('03.Muestra'!$B$8:$B$42,SMALL(IF("Página Web"='03.Muestra'!$D$8:$D$42,ROW('03.Muestra'!$B$8:$B$42)-MIN(ROW('03.Muestra'!$D$8:$D$42))+1,""),ROW()-474)),"")</f>
        <v/>
      </c>
      <c r="B485" s="114" t="str" cm="1">
        <f t="array" ref="B485">IFERROR(INDEX('03.Muestra'!$C$8:$C$42,SMALL(IF("Página Web"='03.Muestra'!$D$8:$D$42,ROW('03.Muestra'!$C$8:$C$42)-MIN(ROW('03.Muestra'!$D$8:$D$42))+1,""),ROW()-474)),"")</f>
        <v/>
      </c>
      <c r="C485" s="114" t="str" cm="1">
        <f t="array" ref="C485">IFERROR(INDEX('03.Muestra'!$F$8:$F$42,SMALL(IF("Página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IFERROR(INDEX('03.Muestra'!$B$8:$B$42,SMALL(IF("Página Web"='03.Muestra'!$D$8:$D$42,ROW('03.Muestra'!$B$8:$B$42)-MIN(ROW('03.Muestra'!$D$8:$D$42))+1,""),ROW()-474)),"")</f>
        <v/>
      </c>
      <c r="B486" s="114" t="str" cm="1">
        <f t="array" ref="B486">IFERROR(INDEX('03.Muestra'!$C$8:$C$42,SMALL(IF("Página Web"='03.Muestra'!$D$8:$D$42,ROW('03.Muestra'!$C$8:$C$42)-MIN(ROW('03.Muestra'!$D$8:$D$42))+1,""),ROW()-474)),"")</f>
        <v/>
      </c>
      <c r="C486" s="114" t="str" cm="1">
        <f t="array" ref="C486">IFERROR(INDEX('03.Muestra'!$F$8:$F$42,SMALL(IF("Página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t="str" cm="1">
        <f t="array" ref="A487">IFERROR(INDEX('03.Muestra'!$B$8:$B$42,SMALL(IF("Página Web"='03.Muestra'!$D$8:$D$42,ROW('03.Muestra'!$B$8:$B$42)-MIN(ROW('03.Muestra'!$D$8:$D$42))+1,""),ROW()-474)),"")</f>
        <v/>
      </c>
      <c r="B487" s="114" t="str" cm="1">
        <f t="array" ref="B487">IFERROR(INDEX('03.Muestra'!$C$8:$C$42,SMALL(IF("Página Web"='03.Muestra'!$D$8:$D$42,ROW('03.Muestra'!$C$8:$C$42)-MIN(ROW('03.Muestra'!$D$8:$D$42))+1,""),ROW()-474)),"")</f>
        <v/>
      </c>
      <c r="C487" s="114" t="str" cm="1">
        <f t="array" ref="C487">IFERROR(INDEX('03.Muestra'!$F$8:$F$42,SMALL(IF("Página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t="str" cm="1">
        <f t="array" ref="A488">IFERROR(INDEX('03.Muestra'!$B$8:$B$42,SMALL(IF("Página Web"='03.Muestra'!$D$8:$D$42,ROW('03.Muestra'!$B$8:$B$42)-MIN(ROW('03.Muestra'!$D$8:$D$42))+1,""),ROW()-474)),"")</f>
        <v/>
      </c>
      <c r="B488" s="114" t="str" cm="1">
        <f t="array" ref="B488">IFERROR(INDEX('03.Muestra'!$C$8:$C$42,SMALL(IF("Página Web"='03.Muestra'!$D$8:$D$42,ROW('03.Muestra'!$C$8:$C$42)-MIN(ROW('03.Muestra'!$D$8:$D$42))+1,""),ROW()-474)),"")</f>
        <v/>
      </c>
      <c r="C488" s="114" t="str" cm="1">
        <f t="array" ref="C488">IFERROR(INDEX('03.Muestra'!$F$8:$F$42,SMALL(IF("Página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t="str" cm="1">
        <f t="array" ref="A489">IFERROR(INDEX('03.Muestra'!$B$8:$B$42,SMALL(IF("Página Web"='03.Muestra'!$D$8:$D$42,ROW('03.Muestra'!$B$8:$B$42)-MIN(ROW('03.Muestra'!$D$8:$D$42))+1,""),ROW()-474)),"")</f>
        <v/>
      </c>
      <c r="B489" s="114" t="str" cm="1">
        <f t="array" ref="B489">IFERROR(INDEX('03.Muestra'!$C$8:$C$42,SMALL(IF("Página Web"='03.Muestra'!$D$8:$D$42,ROW('03.Muestra'!$C$8:$C$42)-MIN(ROW('03.Muestra'!$D$8:$D$42))+1,""),ROW()-474)),"")</f>
        <v/>
      </c>
      <c r="C489" s="114" t="str" cm="1">
        <f t="array" ref="C489">IFERROR(INDEX('03.Muestra'!$F$8:$F$42,SMALL(IF("Página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http://www.madrid.org/presupuestos</v>
      </c>
      <c r="D513" s="130" t="s">
        <v>28</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Menu 1</v>
      </c>
      <c r="C514" s="114" t="str" cm="1">
        <f t="array" ref="C514">IFERROR(INDEX('03.Muestra'!$F$8:$F$42,SMALL(IF("Página Web"='03.Muestra'!$D$8:$D$42,ROW('03.Muestra'!$F$8:$F$42)-MIN(ROW('03.Muestra'!$D$8:$D$42))+1,""),ROW()-512)),"")</f>
        <v>http://www.madrid.org/presupuestos/index.php/presupuestos-generales/presupuestos-cm/2022</v>
      </c>
      <c r="D514" s="130" t="s">
        <v>28</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5</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Menu 2</v>
      </c>
      <c r="C515" s="114" t="str" cm="1">
        <f t="array" ref="C515">IFERROR(INDEX('03.Muestra'!$F$8:$F$42,SMALL(IF("Página Web"='03.Muestra'!$D$8:$D$42,ROW('03.Muestra'!$F$8:$F$42)-MIN(ROW('03.Muestra'!$D$8:$D$42))+1,""),ROW()-512)),"")</f>
        <v>http://www.madrid.org/presupuestos/index.php/ejecucion-presupuestaria</v>
      </c>
      <c r="D515" s="130" t="s">
        <v>28</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Menu 3</v>
      </c>
      <c r="C516" s="114" t="str" cm="1">
        <f t="array" ref="C516">IFERROR(INDEX('03.Muestra'!$F$8:$F$42,SMALL(IF("Página Web"='03.Muestra'!$D$8:$D$42,ROW('03.Muestra'!$F$8:$F$42)-MIN(ROW('03.Muestra'!$D$8:$D$42))+1,""),ROW()-512)),"")</f>
        <v>http://www.madrid.org/presupuestos/index.php/transparencia</v>
      </c>
      <c r="D516" s="130" t="s">
        <v>28</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Accesibilidad</v>
      </c>
      <c r="C517" s="114" t="str" cm="1">
        <f t="array" ref="C517">IFERROR(INDEX('03.Muestra'!$F$8:$F$42,SMALL(IF("Página Web"='03.Muestra'!$D$8:$D$42,ROW('03.Muestra'!$F$8:$F$42)-MIN(ROW('03.Muestra'!$D$8:$D$42))+1,""),ROW()-512)),"")</f>
        <v>http://www.madrid.org/presupuestos/index.php/accesibilidad-web</v>
      </c>
      <c r="D517" s="130" t="s">
        <v>28</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IFERROR(INDEX('03.Muestra'!$B$8:$B$42,SMALL(IF("Página Web"='03.Muestra'!$D$8:$D$42,ROW('03.Muestra'!$B$8:$B$42)-MIN(ROW('03.Muestra'!$D$8:$D$42))+1,""),ROW()-512)),"")</f>
        <v/>
      </c>
      <c r="B518" s="114" t="str" cm="1">
        <f t="array" ref="B518">IFERROR(INDEX('03.Muestra'!$C$8:$C$42,SMALL(IF("Página Web"='03.Muestra'!$D$8:$D$42,ROW('03.Muestra'!$C$8:$C$42)-MIN(ROW('03.Muestra'!$D$8:$D$42))+1,""),ROW()-512)),"")</f>
        <v/>
      </c>
      <c r="C518" s="114" t="str" cm="1">
        <f t="array" ref="C518">IFERROR(INDEX('03.Muestra'!$F$8:$F$42,SMALL(IF("Página Web"='03.Muestra'!$D$8:$D$42,ROW('03.Muestra'!$F$8:$F$42)-MIN(ROW('03.Muestra'!$D$8:$D$42))+1,""),ROW()-512)),"")</f>
        <v/>
      </c>
      <c r="D518" s="130" t="str">
        <f t="shared" ref="D518:D547" si="27">IF(AND(B518&lt;&gt;"",C518&lt;&gt;""),"N/T","")</f>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IFERROR(INDEX('03.Muestra'!$B$8:$B$42,SMALL(IF("Página Web"='03.Muestra'!$D$8:$D$42,ROW('03.Muestra'!$B$8:$B$42)-MIN(ROW('03.Muestra'!$D$8:$D$42))+1,""),ROW()-512)),"")</f>
        <v/>
      </c>
      <c r="B519" s="114" t="str" cm="1">
        <f t="array" ref="B519">IFERROR(INDEX('03.Muestra'!$C$8:$C$42,SMALL(IF("Página Web"='03.Muestra'!$D$8:$D$42,ROW('03.Muestra'!$C$8:$C$42)-MIN(ROW('03.Muestra'!$D$8:$D$42))+1,""),ROW()-512)),"")</f>
        <v/>
      </c>
      <c r="C519" s="114" t="str" cm="1">
        <f t="array" ref="C519">IFERROR(INDEX('03.Muestra'!$F$8:$F$42,SMALL(IF("Página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IFERROR(INDEX('03.Muestra'!$B$8:$B$42,SMALL(IF("Página Web"='03.Muestra'!$D$8:$D$42,ROW('03.Muestra'!$B$8:$B$42)-MIN(ROW('03.Muestra'!$D$8:$D$42))+1,""),ROW()-512)),"")</f>
        <v/>
      </c>
      <c r="B520" s="114" t="str" cm="1">
        <f t="array" ref="B520">IFERROR(INDEX('03.Muestra'!$C$8:$C$42,SMALL(IF("Página Web"='03.Muestra'!$D$8:$D$42,ROW('03.Muestra'!$C$8:$C$42)-MIN(ROW('03.Muestra'!$D$8:$D$42))+1,""),ROW()-512)),"")</f>
        <v/>
      </c>
      <c r="C520" s="114" t="str" cm="1">
        <f t="array" ref="C520">IFERROR(INDEX('03.Muestra'!$F$8:$F$42,SMALL(IF("Página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IFERROR(INDEX('03.Muestra'!$B$8:$B$42,SMALL(IF("Página Web"='03.Muestra'!$D$8:$D$42,ROW('03.Muestra'!$B$8:$B$42)-MIN(ROW('03.Muestra'!$D$8:$D$42))+1,""),ROW()-512)),"")</f>
        <v/>
      </c>
      <c r="B521" s="114" t="str" cm="1">
        <f t="array" ref="B521">IFERROR(INDEX('03.Muestra'!$C$8:$C$42,SMALL(IF("Página Web"='03.Muestra'!$D$8:$D$42,ROW('03.Muestra'!$C$8:$C$42)-MIN(ROW('03.Muestra'!$D$8:$D$42))+1,""),ROW()-512)),"")</f>
        <v/>
      </c>
      <c r="C521" s="114" t="str" cm="1">
        <f t="array" ref="C521">IFERROR(INDEX('03.Muestra'!$F$8:$F$42,SMALL(IF("Página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IFERROR(INDEX('03.Muestra'!$B$8:$B$42,SMALL(IF("Página Web"='03.Muestra'!$D$8:$D$42,ROW('03.Muestra'!$B$8:$B$42)-MIN(ROW('03.Muestra'!$D$8:$D$42))+1,""),ROW()-512)),"")</f>
        <v/>
      </c>
      <c r="B522" s="114" t="str" cm="1">
        <f t="array" ref="B522">IFERROR(INDEX('03.Muestra'!$C$8:$C$42,SMALL(IF("Página Web"='03.Muestra'!$D$8:$D$42,ROW('03.Muestra'!$C$8:$C$42)-MIN(ROW('03.Muestra'!$D$8:$D$42))+1,""),ROW()-512)),"")</f>
        <v/>
      </c>
      <c r="C522" s="114" t="str" cm="1">
        <f t="array" ref="C522">IFERROR(INDEX('03.Muestra'!$F$8:$F$42,SMALL(IF("Página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IFERROR(INDEX('03.Muestra'!$B$8:$B$42,SMALL(IF("Página Web"='03.Muestra'!$D$8:$D$42,ROW('03.Muestra'!$B$8:$B$42)-MIN(ROW('03.Muestra'!$D$8:$D$42))+1,""),ROW()-512)),"")</f>
        <v/>
      </c>
      <c r="B523" s="114" t="str" cm="1">
        <f t="array" ref="B523">IFERROR(INDEX('03.Muestra'!$C$8:$C$42,SMALL(IF("Página Web"='03.Muestra'!$D$8:$D$42,ROW('03.Muestra'!$C$8:$C$42)-MIN(ROW('03.Muestra'!$D$8:$D$42))+1,""),ROW()-512)),"")</f>
        <v/>
      </c>
      <c r="C523" s="114" t="str" cm="1">
        <f t="array" ref="C523">IFERROR(INDEX('03.Muestra'!$F$8:$F$42,SMALL(IF("Página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IFERROR(INDEX('03.Muestra'!$B$8:$B$42,SMALL(IF("Página Web"='03.Muestra'!$D$8:$D$42,ROW('03.Muestra'!$B$8:$B$42)-MIN(ROW('03.Muestra'!$D$8:$D$42))+1,""),ROW()-512)),"")</f>
        <v/>
      </c>
      <c r="B524" s="114" t="str" cm="1">
        <f t="array" ref="B524">IFERROR(INDEX('03.Muestra'!$C$8:$C$42,SMALL(IF("Página Web"='03.Muestra'!$D$8:$D$42,ROW('03.Muestra'!$C$8:$C$42)-MIN(ROW('03.Muestra'!$D$8:$D$42))+1,""),ROW()-512)),"")</f>
        <v/>
      </c>
      <c r="C524" s="114" t="str" cm="1">
        <f t="array" ref="C524">IFERROR(INDEX('03.Muestra'!$F$8:$F$42,SMALL(IF("Página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t="str" cm="1">
        <f t="array" ref="A525">IFERROR(INDEX('03.Muestra'!$B$8:$B$42,SMALL(IF("Página Web"='03.Muestra'!$D$8:$D$42,ROW('03.Muestra'!$B$8:$B$42)-MIN(ROW('03.Muestra'!$D$8:$D$42))+1,""),ROW()-512)),"")</f>
        <v/>
      </c>
      <c r="B525" s="114" t="str" cm="1">
        <f t="array" ref="B525">IFERROR(INDEX('03.Muestra'!$C$8:$C$42,SMALL(IF("Página Web"='03.Muestra'!$D$8:$D$42,ROW('03.Muestra'!$C$8:$C$42)-MIN(ROW('03.Muestra'!$D$8:$D$42))+1,""),ROW()-512)),"")</f>
        <v/>
      </c>
      <c r="C525" s="114" t="str" cm="1">
        <f t="array" ref="C525">IFERROR(INDEX('03.Muestra'!$F$8:$F$42,SMALL(IF("Página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t="str" cm="1">
        <f t="array" ref="A526">IFERROR(INDEX('03.Muestra'!$B$8:$B$42,SMALL(IF("Página Web"='03.Muestra'!$D$8:$D$42,ROW('03.Muestra'!$B$8:$B$42)-MIN(ROW('03.Muestra'!$D$8:$D$42))+1,""),ROW()-512)),"")</f>
        <v/>
      </c>
      <c r="B526" s="114" t="str" cm="1">
        <f t="array" ref="B526">IFERROR(INDEX('03.Muestra'!$C$8:$C$42,SMALL(IF("Página Web"='03.Muestra'!$D$8:$D$42,ROW('03.Muestra'!$C$8:$C$42)-MIN(ROW('03.Muestra'!$D$8:$D$42))+1,""),ROW()-512)),"")</f>
        <v/>
      </c>
      <c r="C526" s="114" t="str" cm="1">
        <f t="array" ref="C526">IFERROR(INDEX('03.Muestra'!$F$8:$F$42,SMALL(IF("Página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t="str" cm="1">
        <f t="array" ref="A527">IFERROR(INDEX('03.Muestra'!$B$8:$B$42,SMALL(IF("Página Web"='03.Muestra'!$D$8:$D$42,ROW('03.Muestra'!$B$8:$B$42)-MIN(ROW('03.Muestra'!$D$8:$D$42))+1,""),ROW()-512)),"")</f>
        <v/>
      </c>
      <c r="B527" s="114" t="str" cm="1">
        <f t="array" ref="B527">IFERROR(INDEX('03.Muestra'!$C$8:$C$42,SMALL(IF("Página Web"='03.Muestra'!$D$8:$D$42,ROW('03.Muestra'!$C$8:$C$42)-MIN(ROW('03.Muestra'!$D$8:$D$42))+1,""),ROW()-512)),"")</f>
        <v/>
      </c>
      <c r="C527" s="114" t="str" cm="1">
        <f t="array" ref="C527">IFERROR(INDEX('03.Muestra'!$F$8:$F$42,SMALL(IF("Página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http://www.madrid.org/presupuestos</v>
      </c>
      <c r="D551" s="130" t="s">
        <v>26</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Menu 1</v>
      </c>
      <c r="C552" s="114" t="str" cm="1">
        <f t="array" ref="C552">IFERROR(INDEX('03.Muestra'!$F$8:$F$42,SMALL(IF("Página Web"='03.Muestra'!$D$8:$D$42,ROW('03.Muestra'!$F$8:$F$42)-MIN(ROW('03.Muestra'!$D$8:$D$42))+1,""),ROW()-550)),"")</f>
        <v>http://www.madrid.org/presupuestos/index.php/presupuestos-generales/presupuestos-cm/2022</v>
      </c>
      <c r="D552" s="130" t="s">
        <v>26</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5</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Menu 2</v>
      </c>
      <c r="C553" s="114" t="str" cm="1">
        <f t="array" ref="C553">IFERROR(INDEX('03.Muestra'!$F$8:$F$42,SMALL(IF("Página Web"='03.Muestra'!$D$8:$D$42,ROW('03.Muestra'!$F$8:$F$42)-MIN(ROW('03.Muestra'!$D$8:$D$42))+1,""),ROW()-550)),"")</f>
        <v>http://www.madrid.org/presupuestos/index.php/ejecucion-presupuestaria</v>
      </c>
      <c r="D553" s="130" t="s">
        <v>26</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Menu 3</v>
      </c>
      <c r="C554" s="114" t="str" cm="1">
        <f t="array" ref="C554">IFERROR(INDEX('03.Muestra'!$F$8:$F$42,SMALL(IF("Página Web"='03.Muestra'!$D$8:$D$42,ROW('03.Muestra'!$F$8:$F$42)-MIN(ROW('03.Muestra'!$D$8:$D$42))+1,""),ROW()-550)),"")</f>
        <v>http://www.madrid.org/presupuestos/index.php/transparencia</v>
      </c>
      <c r="D554" s="130" t="s">
        <v>26</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Accesibilidad</v>
      </c>
      <c r="C555" s="114" t="str" cm="1">
        <f t="array" ref="C555">IFERROR(INDEX('03.Muestra'!$F$8:$F$42,SMALL(IF("Página Web"='03.Muestra'!$D$8:$D$42,ROW('03.Muestra'!$F$8:$F$42)-MIN(ROW('03.Muestra'!$D$8:$D$42))+1,""),ROW()-550)),"")</f>
        <v>http://www.madrid.org/presupuestos/index.php/accesibilidad-web</v>
      </c>
      <c r="D555" s="130" t="s">
        <v>26</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IFERROR(INDEX('03.Muestra'!$B$8:$B$42,SMALL(IF("Página Web"='03.Muestra'!$D$8:$D$42,ROW('03.Muestra'!$B$8:$B$42)-MIN(ROW('03.Muestra'!$D$8:$D$42))+1,""),ROW()-550)),"")</f>
        <v/>
      </c>
      <c r="B556" s="114" t="str" cm="1">
        <f t="array" ref="B556">IFERROR(INDEX('03.Muestra'!$C$8:$C$42,SMALL(IF("Página Web"='03.Muestra'!$D$8:$D$42,ROW('03.Muestra'!$C$8:$C$42)-MIN(ROW('03.Muestra'!$D$8:$D$42))+1,""),ROW()-550)),"")</f>
        <v/>
      </c>
      <c r="C556" s="114" t="str" cm="1">
        <f t="array" ref="C556">IFERROR(INDEX('03.Muestra'!$F$8:$F$42,SMALL(IF("Página Web"='03.Muestra'!$D$8:$D$42,ROW('03.Muestra'!$F$8:$F$42)-MIN(ROW('03.Muestra'!$D$8:$D$42))+1,""),ROW()-550)),"")</f>
        <v/>
      </c>
      <c r="D556" s="130" t="str">
        <f t="shared" ref="D556:D585" si="29">IF(AND(B556&lt;&gt;"",C556&lt;&gt;""),"N/T","")</f>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IFERROR(INDEX('03.Muestra'!$B$8:$B$42,SMALL(IF("Página Web"='03.Muestra'!$D$8:$D$42,ROW('03.Muestra'!$B$8:$B$42)-MIN(ROW('03.Muestra'!$D$8:$D$42))+1,""),ROW()-550)),"")</f>
        <v/>
      </c>
      <c r="B557" s="114" t="str" cm="1">
        <f t="array" ref="B557">IFERROR(INDEX('03.Muestra'!$C$8:$C$42,SMALL(IF("Página Web"='03.Muestra'!$D$8:$D$42,ROW('03.Muestra'!$C$8:$C$42)-MIN(ROW('03.Muestra'!$D$8:$D$42))+1,""),ROW()-550)),"")</f>
        <v/>
      </c>
      <c r="C557" s="114" t="str" cm="1">
        <f t="array" ref="C557">IFERROR(INDEX('03.Muestra'!$F$8:$F$42,SMALL(IF("Página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IFERROR(INDEX('03.Muestra'!$B$8:$B$42,SMALL(IF("Página Web"='03.Muestra'!$D$8:$D$42,ROW('03.Muestra'!$B$8:$B$42)-MIN(ROW('03.Muestra'!$D$8:$D$42))+1,""),ROW()-550)),"")</f>
        <v/>
      </c>
      <c r="B558" s="114" t="str" cm="1">
        <f t="array" ref="B558">IFERROR(INDEX('03.Muestra'!$C$8:$C$42,SMALL(IF("Página Web"='03.Muestra'!$D$8:$D$42,ROW('03.Muestra'!$C$8:$C$42)-MIN(ROW('03.Muestra'!$D$8:$D$42))+1,""),ROW()-550)),"")</f>
        <v/>
      </c>
      <c r="C558" s="114" t="str" cm="1">
        <f t="array" ref="C558">IFERROR(INDEX('03.Muestra'!$F$8:$F$42,SMALL(IF("Página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IFERROR(INDEX('03.Muestra'!$B$8:$B$42,SMALL(IF("Página Web"='03.Muestra'!$D$8:$D$42,ROW('03.Muestra'!$B$8:$B$42)-MIN(ROW('03.Muestra'!$D$8:$D$42))+1,""),ROW()-550)),"")</f>
        <v/>
      </c>
      <c r="B559" s="114" t="str" cm="1">
        <f t="array" ref="B559">IFERROR(INDEX('03.Muestra'!$C$8:$C$42,SMALL(IF("Página Web"='03.Muestra'!$D$8:$D$42,ROW('03.Muestra'!$C$8:$C$42)-MIN(ROW('03.Muestra'!$D$8:$D$42))+1,""),ROW()-550)),"")</f>
        <v/>
      </c>
      <c r="C559" s="114" t="str" cm="1">
        <f t="array" ref="C559">IFERROR(INDEX('03.Muestra'!$F$8:$F$42,SMALL(IF("Página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IFERROR(INDEX('03.Muestra'!$B$8:$B$42,SMALL(IF("Página Web"='03.Muestra'!$D$8:$D$42,ROW('03.Muestra'!$B$8:$B$42)-MIN(ROW('03.Muestra'!$D$8:$D$42))+1,""),ROW()-550)),"")</f>
        <v/>
      </c>
      <c r="B560" s="114" t="str" cm="1">
        <f t="array" ref="B560">IFERROR(INDEX('03.Muestra'!$C$8:$C$42,SMALL(IF("Página Web"='03.Muestra'!$D$8:$D$42,ROW('03.Muestra'!$C$8:$C$42)-MIN(ROW('03.Muestra'!$D$8:$D$42))+1,""),ROW()-550)),"")</f>
        <v/>
      </c>
      <c r="C560" s="114" t="str" cm="1">
        <f t="array" ref="C560">IFERROR(INDEX('03.Muestra'!$F$8:$F$42,SMALL(IF("Página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IFERROR(INDEX('03.Muestra'!$B$8:$B$42,SMALL(IF("Página Web"='03.Muestra'!$D$8:$D$42,ROW('03.Muestra'!$B$8:$B$42)-MIN(ROW('03.Muestra'!$D$8:$D$42))+1,""),ROW()-550)),"")</f>
        <v/>
      </c>
      <c r="B561" s="114" t="str" cm="1">
        <f t="array" ref="B561">IFERROR(INDEX('03.Muestra'!$C$8:$C$42,SMALL(IF("Página Web"='03.Muestra'!$D$8:$D$42,ROW('03.Muestra'!$C$8:$C$42)-MIN(ROW('03.Muestra'!$D$8:$D$42))+1,""),ROW()-550)),"")</f>
        <v/>
      </c>
      <c r="C561" s="114" t="str" cm="1">
        <f t="array" ref="C561">IFERROR(INDEX('03.Muestra'!$F$8:$F$42,SMALL(IF("Página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IFERROR(INDEX('03.Muestra'!$B$8:$B$42,SMALL(IF("Página Web"='03.Muestra'!$D$8:$D$42,ROW('03.Muestra'!$B$8:$B$42)-MIN(ROW('03.Muestra'!$D$8:$D$42))+1,""),ROW()-550)),"")</f>
        <v/>
      </c>
      <c r="B562" s="114" t="str" cm="1">
        <f t="array" ref="B562">IFERROR(INDEX('03.Muestra'!$C$8:$C$42,SMALL(IF("Página Web"='03.Muestra'!$D$8:$D$42,ROW('03.Muestra'!$C$8:$C$42)-MIN(ROW('03.Muestra'!$D$8:$D$42))+1,""),ROW()-550)),"")</f>
        <v/>
      </c>
      <c r="C562" s="114" t="str" cm="1">
        <f t="array" ref="C562">IFERROR(INDEX('03.Muestra'!$F$8:$F$42,SMALL(IF("Página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t="str" cm="1">
        <f t="array" ref="A563">IFERROR(INDEX('03.Muestra'!$B$8:$B$42,SMALL(IF("Página Web"='03.Muestra'!$D$8:$D$42,ROW('03.Muestra'!$B$8:$B$42)-MIN(ROW('03.Muestra'!$D$8:$D$42))+1,""),ROW()-550)),"")</f>
        <v/>
      </c>
      <c r="B563" s="114" t="str" cm="1">
        <f t="array" ref="B563">IFERROR(INDEX('03.Muestra'!$C$8:$C$42,SMALL(IF("Página Web"='03.Muestra'!$D$8:$D$42,ROW('03.Muestra'!$C$8:$C$42)-MIN(ROW('03.Muestra'!$D$8:$D$42))+1,""),ROW()-550)),"")</f>
        <v/>
      </c>
      <c r="C563" s="114" t="str" cm="1">
        <f t="array" ref="C563">IFERROR(INDEX('03.Muestra'!$F$8:$F$42,SMALL(IF("Página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t="str" cm="1">
        <f t="array" ref="A564">IFERROR(INDEX('03.Muestra'!$B$8:$B$42,SMALL(IF("Página Web"='03.Muestra'!$D$8:$D$42,ROW('03.Muestra'!$B$8:$B$42)-MIN(ROW('03.Muestra'!$D$8:$D$42))+1,""),ROW()-550)),"")</f>
        <v/>
      </c>
      <c r="B564" s="114" t="str" cm="1">
        <f t="array" ref="B564">IFERROR(INDEX('03.Muestra'!$C$8:$C$42,SMALL(IF("Página Web"='03.Muestra'!$D$8:$D$42,ROW('03.Muestra'!$C$8:$C$42)-MIN(ROW('03.Muestra'!$D$8:$D$42))+1,""),ROW()-550)),"")</f>
        <v/>
      </c>
      <c r="C564" s="114" t="str" cm="1">
        <f t="array" ref="C564">IFERROR(INDEX('03.Muestra'!$F$8:$F$42,SMALL(IF("Página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t="str" cm="1">
        <f t="array" ref="A565">IFERROR(INDEX('03.Muestra'!$B$8:$B$42,SMALL(IF("Página Web"='03.Muestra'!$D$8:$D$42,ROW('03.Muestra'!$B$8:$B$42)-MIN(ROW('03.Muestra'!$D$8:$D$42))+1,""),ROW()-550)),"")</f>
        <v/>
      </c>
      <c r="B565" s="114" t="str" cm="1">
        <f t="array" ref="B565">IFERROR(INDEX('03.Muestra'!$C$8:$C$42,SMALL(IF("Página Web"='03.Muestra'!$D$8:$D$42,ROW('03.Muestra'!$C$8:$C$42)-MIN(ROW('03.Muestra'!$D$8:$D$42))+1,""),ROW()-550)),"")</f>
        <v/>
      </c>
      <c r="C565" s="114" t="str" cm="1">
        <f t="array" ref="C565">IFERROR(INDEX('03.Muestra'!$F$8:$F$42,SMALL(IF("Página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http://www.madrid.org/presupuestos</v>
      </c>
      <c r="D589" s="130" t="s">
        <v>28</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Menu 1</v>
      </c>
      <c r="C590" s="114" t="str" cm="1">
        <f t="array" ref="C590">IFERROR(INDEX('03.Muestra'!$F$8:$F$42,SMALL(IF("Página Web"='03.Muestra'!$D$8:$D$42,ROW('03.Muestra'!$F$8:$F$42)-MIN(ROW('03.Muestra'!$D$8:$D$42))+1,""),ROW()-588)),"")</f>
        <v>http://www.madrid.org/presupuestos/index.php/presupuestos-generales/presupuestos-cm/2022</v>
      </c>
      <c r="D590" s="130" t="s">
        <v>28</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5</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Menu 2</v>
      </c>
      <c r="C591" s="114" t="str" cm="1">
        <f t="array" ref="C591">IFERROR(INDEX('03.Muestra'!$F$8:$F$42,SMALL(IF("Página Web"='03.Muestra'!$D$8:$D$42,ROW('03.Muestra'!$F$8:$F$42)-MIN(ROW('03.Muestra'!$D$8:$D$42))+1,""),ROW()-588)),"")</f>
        <v>http://www.madrid.org/presupuestos/index.php/ejecucion-presupuestaria</v>
      </c>
      <c r="D591" s="130" t="s">
        <v>28</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Menu 3</v>
      </c>
      <c r="C592" s="114" t="str" cm="1">
        <f t="array" ref="C592">IFERROR(INDEX('03.Muestra'!$F$8:$F$42,SMALL(IF("Página Web"='03.Muestra'!$D$8:$D$42,ROW('03.Muestra'!$F$8:$F$42)-MIN(ROW('03.Muestra'!$D$8:$D$42))+1,""),ROW()-588)),"")</f>
        <v>http://www.madrid.org/presupuestos/index.php/transparencia</v>
      </c>
      <c r="D592" s="130" t="s">
        <v>28</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Accesibilidad</v>
      </c>
      <c r="C593" s="114" t="str" cm="1">
        <f t="array" ref="C593">IFERROR(INDEX('03.Muestra'!$F$8:$F$42,SMALL(IF("Página Web"='03.Muestra'!$D$8:$D$42,ROW('03.Muestra'!$F$8:$F$42)-MIN(ROW('03.Muestra'!$D$8:$D$42))+1,""),ROW()-588)),"")</f>
        <v>http://www.madrid.org/presupuestos/index.php/accesibilidad-web</v>
      </c>
      <c r="D593" s="130" t="s">
        <v>28</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IFERROR(INDEX('03.Muestra'!$B$8:$B$42,SMALL(IF("Página Web"='03.Muestra'!$D$8:$D$42,ROW('03.Muestra'!$B$8:$B$42)-MIN(ROW('03.Muestra'!$D$8:$D$42))+1,""),ROW()-588)),"")</f>
        <v/>
      </c>
      <c r="B594" s="114" t="str" cm="1">
        <f t="array" ref="B594">IFERROR(INDEX('03.Muestra'!$C$8:$C$42,SMALL(IF("Página Web"='03.Muestra'!$D$8:$D$42,ROW('03.Muestra'!$C$8:$C$42)-MIN(ROW('03.Muestra'!$D$8:$D$42))+1,""),ROW()-588)),"")</f>
        <v/>
      </c>
      <c r="C594" s="114" t="str" cm="1">
        <f t="array" ref="C594">IFERROR(INDEX('03.Muestra'!$F$8:$F$42,SMALL(IF("Página Web"='03.Muestra'!$D$8:$D$42,ROW('03.Muestra'!$F$8:$F$42)-MIN(ROW('03.Muestra'!$D$8:$D$42))+1,""),ROW()-588)),"")</f>
        <v/>
      </c>
      <c r="D594" s="130" t="str">
        <f t="shared" ref="D594:D623" si="31">IF(AND(B594&lt;&gt;"",C594&lt;&gt;""),"N/T","")</f>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IFERROR(INDEX('03.Muestra'!$B$8:$B$42,SMALL(IF("Página Web"='03.Muestra'!$D$8:$D$42,ROW('03.Muestra'!$B$8:$B$42)-MIN(ROW('03.Muestra'!$D$8:$D$42))+1,""),ROW()-588)),"")</f>
        <v/>
      </c>
      <c r="B595" s="114" t="str" cm="1">
        <f t="array" ref="B595">IFERROR(INDEX('03.Muestra'!$C$8:$C$42,SMALL(IF("Página Web"='03.Muestra'!$D$8:$D$42,ROW('03.Muestra'!$C$8:$C$42)-MIN(ROW('03.Muestra'!$D$8:$D$42))+1,""),ROW()-588)),"")</f>
        <v/>
      </c>
      <c r="C595" s="114" t="str" cm="1">
        <f t="array" ref="C595">IFERROR(INDEX('03.Muestra'!$F$8:$F$42,SMALL(IF("Página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IFERROR(INDEX('03.Muestra'!$B$8:$B$42,SMALL(IF("Página Web"='03.Muestra'!$D$8:$D$42,ROW('03.Muestra'!$B$8:$B$42)-MIN(ROW('03.Muestra'!$D$8:$D$42))+1,""),ROW()-588)),"")</f>
        <v/>
      </c>
      <c r="B596" s="114" t="str" cm="1">
        <f t="array" ref="B596">IFERROR(INDEX('03.Muestra'!$C$8:$C$42,SMALL(IF("Página Web"='03.Muestra'!$D$8:$D$42,ROW('03.Muestra'!$C$8:$C$42)-MIN(ROW('03.Muestra'!$D$8:$D$42))+1,""),ROW()-588)),"")</f>
        <v/>
      </c>
      <c r="C596" s="114" t="str" cm="1">
        <f t="array" ref="C596">IFERROR(INDEX('03.Muestra'!$F$8:$F$42,SMALL(IF("Página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IFERROR(INDEX('03.Muestra'!$B$8:$B$42,SMALL(IF("Página Web"='03.Muestra'!$D$8:$D$42,ROW('03.Muestra'!$B$8:$B$42)-MIN(ROW('03.Muestra'!$D$8:$D$42))+1,""),ROW()-588)),"")</f>
        <v/>
      </c>
      <c r="B597" s="114" t="str" cm="1">
        <f t="array" ref="B597">IFERROR(INDEX('03.Muestra'!$C$8:$C$42,SMALL(IF("Página Web"='03.Muestra'!$D$8:$D$42,ROW('03.Muestra'!$C$8:$C$42)-MIN(ROW('03.Muestra'!$D$8:$D$42))+1,""),ROW()-588)),"")</f>
        <v/>
      </c>
      <c r="C597" s="114" t="str" cm="1">
        <f t="array" ref="C597">IFERROR(INDEX('03.Muestra'!$F$8:$F$42,SMALL(IF("Página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IFERROR(INDEX('03.Muestra'!$B$8:$B$42,SMALL(IF("Página Web"='03.Muestra'!$D$8:$D$42,ROW('03.Muestra'!$B$8:$B$42)-MIN(ROW('03.Muestra'!$D$8:$D$42))+1,""),ROW()-588)),"")</f>
        <v/>
      </c>
      <c r="B598" s="114" t="str" cm="1">
        <f t="array" ref="B598">IFERROR(INDEX('03.Muestra'!$C$8:$C$42,SMALL(IF("Página Web"='03.Muestra'!$D$8:$D$42,ROW('03.Muestra'!$C$8:$C$42)-MIN(ROW('03.Muestra'!$D$8:$D$42))+1,""),ROW()-588)),"")</f>
        <v/>
      </c>
      <c r="C598" s="114" t="str" cm="1">
        <f t="array" ref="C598">IFERROR(INDEX('03.Muestra'!$F$8:$F$42,SMALL(IF("Página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IFERROR(INDEX('03.Muestra'!$B$8:$B$42,SMALL(IF("Página Web"='03.Muestra'!$D$8:$D$42,ROW('03.Muestra'!$B$8:$B$42)-MIN(ROW('03.Muestra'!$D$8:$D$42))+1,""),ROW()-588)),"")</f>
        <v/>
      </c>
      <c r="B599" s="114" t="str" cm="1">
        <f t="array" ref="B599">IFERROR(INDEX('03.Muestra'!$C$8:$C$42,SMALL(IF("Página Web"='03.Muestra'!$D$8:$D$42,ROW('03.Muestra'!$C$8:$C$42)-MIN(ROW('03.Muestra'!$D$8:$D$42))+1,""),ROW()-588)),"")</f>
        <v/>
      </c>
      <c r="C599" s="114" t="str" cm="1">
        <f t="array" ref="C599">IFERROR(INDEX('03.Muestra'!$F$8:$F$42,SMALL(IF("Página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IFERROR(INDEX('03.Muestra'!$B$8:$B$42,SMALL(IF("Página Web"='03.Muestra'!$D$8:$D$42,ROW('03.Muestra'!$B$8:$B$42)-MIN(ROW('03.Muestra'!$D$8:$D$42))+1,""),ROW()-588)),"")</f>
        <v/>
      </c>
      <c r="B600" s="114" t="str" cm="1">
        <f t="array" ref="B600">IFERROR(INDEX('03.Muestra'!$C$8:$C$42,SMALL(IF("Página Web"='03.Muestra'!$D$8:$D$42,ROW('03.Muestra'!$C$8:$C$42)-MIN(ROW('03.Muestra'!$D$8:$D$42))+1,""),ROW()-588)),"")</f>
        <v/>
      </c>
      <c r="C600" s="114" t="str" cm="1">
        <f t="array" ref="C600">IFERROR(INDEX('03.Muestra'!$F$8:$F$42,SMALL(IF("Página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t="str" cm="1">
        <f t="array" ref="A601">IFERROR(INDEX('03.Muestra'!$B$8:$B$42,SMALL(IF("Página Web"='03.Muestra'!$D$8:$D$42,ROW('03.Muestra'!$B$8:$B$42)-MIN(ROW('03.Muestra'!$D$8:$D$42))+1,""),ROW()-588)),"")</f>
        <v/>
      </c>
      <c r="B601" s="114" t="str" cm="1">
        <f t="array" ref="B601">IFERROR(INDEX('03.Muestra'!$C$8:$C$42,SMALL(IF("Página Web"='03.Muestra'!$D$8:$D$42,ROW('03.Muestra'!$C$8:$C$42)-MIN(ROW('03.Muestra'!$D$8:$D$42))+1,""),ROW()-588)),"")</f>
        <v/>
      </c>
      <c r="C601" s="114" t="str" cm="1">
        <f t="array" ref="C601">IFERROR(INDEX('03.Muestra'!$F$8:$F$42,SMALL(IF("Página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t="str" cm="1">
        <f t="array" ref="A602">IFERROR(INDEX('03.Muestra'!$B$8:$B$42,SMALL(IF("Página Web"='03.Muestra'!$D$8:$D$42,ROW('03.Muestra'!$B$8:$B$42)-MIN(ROW('03.Muestra'!$D$8:$D$42))+1,""),ROW()-588)),"")</f>
        <v/>
      </c>
      <c r="B602" s="114" t="str" cm="1">
        <f t="array" ref="B602">IFERROR(INDEX('03.Muestra'!$C$8:$C$42,SMALL(IF("Página Web"='03.Muestra'!$D$8:$D$42,ROW('03.Muestra'!$C$8:$C$42)-MIN(ROW('03.Muestra'!$D$8:$D$42))+1,""),ROW()-588)),"")</f>
        <v/>
      </c>
      <c r="C602" s="114" t="str" cm="1">
        <f t="array" ref="C602">IFERROR(INDEX('03.Muestra'!$F$8:$F$42,SMALL(IF("Página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t="str" cm="1">
        <f t="array" ref="A603">IFERROR(INDEX('03.Muestra'!$B$8:$B$42,SMALL(IF("Página Web"='03.Muestra'!$D$8:$D$42,ROW('03.Muestra'!$B$8:$B$42)-MIN(ROW('03.Muestra'!$D$8:$D$42))+1,""),ROW()-588)),"")</f>
        <v/>
      </c>
      <c r="B603" s="114" t="str" cm="1">
        <f t="array" ref="B603">IFERROR(INDEX('03.Muestra'!$C$8:$C$42,SMALL(IF("Página Web"='03.Muestra'!$D$8:$D$42,ROW('03.Muestra'!$C$8:$C$42)-MIN(ROW('03.Muestra'!$D$8:$D$42))+1,""),ROW()-588)),"")</f>
        <v/>
      </c>
      <c r="C603" s="114" t="str" cm="1">
        <f t="array" ref="C603">IFERROR(INDEX('03.Muestra'!$F$8:$F$42,SMALL(IF("Página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http://www.madrid.org/presupuestos</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Menu 1</v>
      </c>
      <c r="C628" s="114" t="str" cm="1">
        <f t="array" ref="C628">IFERROR(INDEX('03.Muestra'!$F$8:$F$42,SMALL(IF("Página Web"='03.Muestra'!$D$8:$D$42,ROW('03.Muestra'!$F$8:$F$42)-MIN(ROW('03.Muestra'!$D$8:$D$42))+1,""),ROW()-626)),"")</f>
        <v>http://www.madrid.org/presupuestos/index.php/presupuestos-generales/presupuestos-cm/2022</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5</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Menu 2</v>
      </c>
      <c r="C629" s="114" t="str" cm="1">
        <f t="array" ref="C629">IFERROR(INDEX('03.Muestra'!$F$8:$F$42,SMALL(IF("Página Web"='03.Muestra'!$D$8:$D$42,ROW('03.Muestra'!$F$8:$F$42)-MIN(ROW('03.Muestra'!$D$8:$D$42))+1,""),ROW()-626)),"")</f>
        <v>http://www.madrid.org/presupuestos/index.php/ejecucion-presupuestaria</v>
      </c>
      <c r="D629" s="130" t="s">
        <v>26</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Menu 3</v>
      </c>
      <c r="C630" s="114" t="str" cm="1">
        <f t="array" ref="C630">IFERROR(INDEX('03.Muestra'!$F$8:$F$42,SMALL(IF("Página Web"='03.Muestra'!$D$8:$D$42,ROW('03.Muestra'!$F$8:$F$42)-MIN(ROW('03.Muestra'!$D$8:$D$42))+1,""),ROW()-626)),"")</f>
        <v>http://www.madrid.org/presupuestos/index.php/transparencia</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Accesibilidad</v>
      </c>
      <c r="C631" s="114" t="str" cm="1">
        <f t="array" ref="C631">IFERROR(INDEX('03.Muestra'!$F$8:$F$42,SMALL(IF("Página Web"='03.Muestra'!$D$8:$D$42,ROW('03.Muestra'!$F$8:$F$42)-MIN(ROW('03.Muestra'!$D$8:$D$42))+1,""),ROW()-626)),"")</f>
        <v>http://www.madrid.org/presupuestos/index.php/accesibilidad-web</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t="str" cm="1">
        <f t="array" ref="A632">IFERROR(INDEX('03.Muestra'!$B$8:$B$42,SMALL(IF("Página Web"='03.Muestra'!$D$8:$D$42,ROW('03.Muestra'!$B$8:$B$42)-MIN(ROW('03.Muestra'!$D$8:$D$42))+1,""),ROW()-626)),"")</f>
        <v/>
      </c>
      <c r="B632" s="114" t="str" cm="1">
        <f t="array" ref="B632">IFERROR(INDEX('03.Muestra'!$C$8:$C$42,SMALL(IF("Página Web"='03.Muestra'!$D$8:$D$42,ROW('03.Muestra'!$C$8:$C$42)-MIN(ROW('03.Muestra'!$D$8:$D$42))+1,""),ROW()-626)),"")</f>
        <v/>
      </c>
      <c r="C632" s="114" t="str" cm="1">
        <f t="array" ref="C632">IFERROR(INDEX('03.Muestra'!$F$8:$F$42,SMALL(IF("Página Web"='03.Muestra'!$D$8:$D$42,ROW('03.Muestra'!$F$8:$F$42)-MIN(ROW('03.Muestra'!$D$8:$D$42))+1,""),ROW()-626)),"")</f>
        <v/>
      </c>
      <c r="D632" s="130" t="str">
        <f t="shared" ref="D632:D661" si="33">IF(AND(B632&lt;&gt;"",C632&lt;&gt;""),"N/T","")</f>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t="str" cm="1">
        <f t="array" ref="A633">IFERROR(INDEX('03.Muestra'!$B$8:$B$42,SMALL(IF("Página Web"='03.Muestra'!$D$8:$D$42,ROW('03.Muestra'!$B$8:$B$42)-MIN(ROW('03.Muestra'!$D$8:$D$42))+1,""),ROW()-626)),"")</f>
        <v/>
      </c>
      <c r="B633" s="114" t="str" cm="1">
        <f t="array" ref="B633">IFERROR(INDEX('03.Muestra'!$C$8:$C$42,SMALL(IF("Página Web"='03.Muestra'!$D$8:$D$42,ROW('03.Muestra'!$C$8:$C$42)-MIN(ROW('03.Muestra'!$D$8:$D$42))+1,""),ROW()-626)),"")</f>
        <v/>
      </c>
      <c r="C633" s="114" t="str" cm="1">
        <f t="array" ref="C633">IFERROR(INDEX('03.Muestra'!$F$8:$F$42,SMALL(IF("Página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t="str" cm="1">
        <f t="array" ref="A634">IFERROR(INDEX('03.Muestra'!$B$8:$B$42,SMALL(IF("Página Web"='03.Muestra'!$D$8:$D$42,ROW('03.Muestra'!$B$8:$B$42)-MIN(ROW('03.Muestra'!$D$8:$D$42))+1,""),ROW()-626)),"")</f>
        <v/>
      </c>
      <c r="B634" s="114" t="str" cm="1">
        <f t="array" ref="B634">IFERROR(INDEX('03.Muestra'!$C$8:$C$42,SMALL(IF("Página Web"='03.Muestra'!$D$8:$D$42,ROW('03.Muestra'!$C$8:$C$42)-MIN(ROW('03.Muestra'!$D$8:$D$42))+1,""),ROW()-626)),"")</f>
        <v/>
      </c>
      <c r="C634" s="114" t="str" cm="1">
        <f t="array" ref="C634">IFERROR(INDEX('03.Muestra'!$F$8:$F$42,SMALL(IF("Página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t="str" cm="1">
        <f t="array" ref="A635">IFERROR(INDEX('03.Muestra'!$B$8:$B$42,SMALL(IF("Página Web"='03.Muestra'!$D$8:$D$42,ROW('03.Muestra'!$B$8:$B$42)-MIN(ROW('03.Muestra'!$D$8:$D$42))+1,""),ROW()-626)),"")</f>
        <v/>
      </c>
      <c r="B635" s="114" t="str" cm="1">
        <f t="array" ref="B635">IFERROR(INDEX('03.Muestra'!$C$8:$C$42,SMALL(IF("Página Web"='03.Muestra'!$D$8:$D$42,ROW('03.Muestra'!$C$8:$C$42)-MIN(ROW('03.Muestra'!$D$8:$D$42))+1,""),ROW()-626)),"")</f>
        <v/>
      </c>
      <c r="C635" s="114" t="str" cm="1">
        <f t="array" ref="C635">IFERROR(INDEX('03.Muestra'!$F$8:$F$42,SMALL(IF("Página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t="str" cm="1">
        <f t="array" ref="A636">IFERROR(INDEX('03.Muestra'!$B$8:$B$42,SMALL(IF("Página Web"='03.Muestra'!$D$8:$D$42,ROW('03.Muestra'!$B$8:$B$42)-MIN(ROW('03.Muestra'!$D$8:$D$42))+1,""),ROW()-626)),"")</f>
        <v/>
      </c>
      <c r="B636" s="114" t="str" cm="1">
        <f t="array" ref="B636">IFERROR(INDEX('03.Muestra'!$C$8:$C$42,SMALL(IF("Página Web"='03.Muestra'!$D$8:$D$42,ROW('03.Muestra'!$C$8:$C$42)-MIN(ROW('03.Muestra'!$D$8:$D$42))+1,""),ROW()-626)),"")</f>
        <v/>
      </c>
      <c r="C636" s="114" t="str" cm="1">
        <f t="array" ref="C636">IFERROR(INDEX('03.Muestra'!$F$8:$F$42,SMALL(IF("Página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t="str" cm="1">
        <f t="array" ref="A637">IFERROR(INDEX('03.Muestra'!$B$8:$B$42,SMALL(IF("Página Web"='03.Muestra'!$D$8:$D$42,ROW('03.Muestra'!$B$8:$B$42)-MIN(ROW('03.Muestra'!$D$8:$D$42))+1,""),ROW()-626)),"")</f>
        <v/>
      </c>
      <c r="B637" s="114" t="str" cm="1">
        <f t="array" ref="B637">IFERROR(INDEX('03.Muestra'!$C$8:$C$42,SMALL(IF("Página Web"='03.Muestra'!$D$8:$D$42,ROW('03.Muestra'!$C$8:$C$42)-MIN(ROW('03.Muestra'!$D$8:$D$42))+1,""),ROW()-626)),"")</f>
        <v/>
      </c>
      <c r="C637" s="114" t="str" cm="1">
        <f t="array" ref="C637">IFERROR(INDEX('03.Muestra'!$F$8:$F$42,SMALL(IF("Página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t="str" cm="1">
        <f t="array" ref="A638">IFERROR(INDEX('03.Muestra'!$B$8:$B$42,SMALL(IF("Página Web"='03.Muestra'!$D$8:$D$42,ROW('03.Muestra'!$B$8:$B$42)-MIN(ROW('03.Muestra'!$D$8:$D$42))+1,""),ROW()-626)),"")</f>
        <v/>
      </c>
      <c r="B638" s="114" t="str" cm="1">
        <f t="array" ref="B638">IFERROR(INDEX('03.Muestra'!$C$8:$C$42,SMALL(IF("Página Web"='03.Muestra'!$D$8:$D$42,ROW('03.Muestra'!$C$8:$C$42)-MIN(ROW('03.Muestra'!$D$8:$D$42))+1,""),ROW()-626)),"")</f>
        <v/>
      </c>
      <c r="C638" s="114" t="str" cm="1">
        <f t="array" ref="C638">IFERROR(INDEX('03.Muestra'!$F$8:$F$42,SMALL(IF("Página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t="str" cm="1">
        <f t="array" ref="A639">IFERROR(INDEX('03.Muestra'!$B$8:$B$42,SMALL(IF("Página Web"='03.Muestra'!$D$8:$D$42,ROW('03.Muestra'!$B$8:$B$42)-MIN(ROW('03.Muestra'!$D$8:$D$42))+1,""),ROW()-626)),"")</f>
        <v/>
      </c>
      <c r="B639" s="114" t="str" cm="1">
        <f t="array" ref="B639">IFERROR(INDEX('03.Muestra'!$C$8:$C$42,SMALL(IF("Página Web"='03.Muestra'!$D$8:$D$42,ROW('03.Muestra'!$C$8:$C$42)-MIN(ROW('03.Muestra'!$D$8:$D$42))+1,""),ROW()-626)),"")</f>
        <v/>
      </c>
      <c r="C639" s="114" t="str" cm="1">
        <f t="array" ref="C639">IFERROR(INDEX('03.Muestra'!$F$8:$F$42,SMALL(IF("Página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t="str" cm="1">
        <f t="array" ref="A640">IFERROR(INDEX('03.Muestra'!$B$8:$B$42,SMALL(IF("Página Web"='03.Muestra'!$D$8:$D$42,ROW('03.Muestra'!$B$8:$B$42)-MIN(ROW('03.Muestra'!$D$8:$D$42))+1,""),ROW()-626)),"")</f>
        <v/>
      </c>
      <c r="B640" s="114" t="str" cm="1">
        <f t="array" ref="B640">IFERROR(INDEX('03.Muestra'!$C$8:$C$42,SMALL(IF("Página Web"='03.Muestra'!$D$8:$D$42,ROW('03.Muestra'!$C$8:$C$42)-MIN(ROW('03.Muestra'!$D$8:$D$42))+1,""),ROW()-626)),"")</f>
        <v/>
      </c>
      <c r="C640" s="114" t="str" cm="1">
        <f t="array" ref="C640">IFERROR(INDEX('03.Muestra'!$F$8:$F$42,SMALL(IF("Página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t="str" cm="1">
        <f t="array" ref="A641">IFERROR(INDEX('03.Muestra'!$B$8:$B$42,SMALL(IF("Página Web"='03.Muestra'!$D$8:$D$42,ROW('03.Muestra'!$B$8:$B$42)-MIN(ROW('03.Muestra'!$D$8:$D$42))+1,""),ROW()-626)),"")</f>
        <v/>
      </c>
      <c r="B641" s="114" t="str" cm="1">
        <f t="array" ref="B641">IFERROR(INDEX('03.Muestra'!$C$8:$C$42,SMALL(IF("Página Web"='03.Muestra'!$D$8:$D$42,ROW('03.Muestra'!$C$8:$C$42)-MIN(ROW('03.Muestra'!$D$8:$D$42))+1,""),ROW()-626)),"")</f>
        <v/>
      </c>
      <c r="C641" s="114" t="str" cm="1">
        <f t="array" ref="C641">IFERROR(INDEX('03.Muestra'!$F$8:$F$42,SMALL(IF("Página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http://www.madrid.org/presupuestos</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Menu 1</v>
      </c>
      <c r="C666" s="114" t="str" cm="1">
        <f t="array" ref="C666">IFERROR(INDEX('03.Muestra'!$F$8:$F$42,SMALL(IF("Página Web"='03.Muestra'!$D$8:$D$42,ROW('03.Muestra'!$F$8:$F$42)-MIN(ROW('03.Muestra'!$D$8:$D$42))+1,""),ROW()-664)),"")</f>
        <v>http://www.madrid.org/presupuestos/index.php/presupuestos-generales/presupuestos-cm/2022</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5</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Menu 2</v>
      </c>
      <c r="C667" s="114" t="str" cm="1">
        <f t="array" ref="C667">IFERROR(INDEX('03.Muestra'!$F$8:$F$42,SMALL(IF("Página Web"='03.Muestra'!$D$8:$D$42,ROW('03.Muestra'!$F$8:$F$42)-MIN(ROW('03.Muestra'!$D$8:$D$42))+1,""),ROW()-664)),"")</f>
        <v>http://www.madrid.org/presupuestos/index.php/ejecucion-presupuestaria</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Menu 3</v>
      </c>
      <c r="C668" s="114" t="str" cm="1">
        <f t="array" ref="C668">IFERROR(INDEX('03.Muestra'!$F$8:$F$42,SMALL(IF("Página Web"='03.Muestra'!$D$8:$D$42,ROW('03.Muestra'!$F$8:$F$42)-MIN(ROW('03.Muestra'!$D$8:$D$42))+1,""),ROW()-664)),"")</f>
        <v>http://www.madrid.org/presupuestos/index.php/transparencia</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Accesibilidad</v>
      </c>
      <c r="C669" s="114" t="str" cm="1">
        <f t="array" ref="C669">IFERROR(INDEX('03.Muestra'!$F$8:$F$42,SMALL(IF("Página Web"='03.Muestra'!$D$8:$D$42,ROW('03.Muestra'!$F$8:$F$42)-MIN(ROW('03.Muestra'!$D$8:$D$42))+1,""),ROW()-664)),"")</f>
        <v>http://www.madrid.org/presupuestos/index.php/accesibilidad-web</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t="str" cm="1">
        <f t="array" ref="A670">IFERROR(INDEX('03.Muestra'!$B$8:$B$42,SMALL(IF("Página Web"='03.Muestra'!$D$8:$D$42,ROW('03.Muestra'!$B$8:$B$42)-MIN(ROW('03.Muestra'!$D$8:$D$42))+1,""),ROW()-664)),"")</f>
        <v/>
      </c>
      <c r="B670" s="114" t="str" cm="1">
        <f t="array" ref="B670">IFERROR(INDEX('03.Muestra'!$C$8:$C$42,SMALL(IF("Página Web"='03.Muestra'!$D$8:$D$42,ROW('03.Muestra'!$C$8:$C$42)-MIN(ROW('03.Muestra'!$D$8:$D$42))+1,""),ROW()-664)),"")</f>
        <v/>
      </c>
      <c r="C670" s="114" t="str" cm="1">
        <f t="array" ref="C670">IFERROR(INDEX('03.Muestra'!$F$8:$F$42,SMALL(IF("Página Web"='03.Muestra'!$D$8:$D$42,ROW('03.Muestra'!$F$8:$F$42)-MIN(ROW('03.Muestra'!$D$8:$D$42))+1,""),ROW()-664)),"")</f>
        <v/>
      </c>
      <c r="D670" s="130" t="str">
        <f t="shared" ref="D670:D699" si="35">IF(AND(B670&lt;&gt;"",C670&lt;&gt;""),"N/T","")</f>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t="str" cm="1">
        <f t="array" ref="A671">IFERROR(INDEX('03.Muestra'!$B$8:$B$42,SMALL(IF("Página Web"='03.Muestra'!$D$8:$D$42,ROW('03.Muestra'!$B$8:$B$42)-MIN(ROW('03.Muestra'!$D$8:$D$42))+1,""),ROW()-664)),"")</f>
        <v/>
      </c>
      <c r="B671" s="114" t="str" cm="1">
        <f t="array" ref="B671">IFERROR(INDEX('03.Muestra'!$C$8:$C$42,SMALL(IF("Página Web"='03.Muestra'!$D$8:$D$42,ROW('03.Muestra'!$C$8:$C$42)-MIN(ROW('03.Muestra'!$D$8:$D$42))+1,""),ROW()-664)),"")</f>
        <v/>
      </c>
      <c r="C671" s="114" t="str" cm="1">
        <f t="array" ref="C671">IFERROR(INDEX('03.Muestra'!$F$8:$F$42,SMALL(IF("Página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t="str" cm="1">
        <f t="array" ref="A672">IFERROR(INDEX('03.Muestra'!$B$8:$B$42,SMALL(IF("Página Web"='03.Muestra'!$D$8:$D$42,ROW('03.Muestra'!$B$8:$B$42)-MIN(ROW('03.Muestra'!$D$8:$D$42))+1,""),ROW()-664)),"")</f>
        <v/>
      </c>
      <c r="B672" s="114" t="str" cm="1">
        <f t="array" ref="B672">IFERROR(INDEX('03.Muestra'!$C$8:$C$42,SMALL(IF("Página Web"='03.Muestra'!$D$8:$D$42,ROW('03.Muestra'!$C$8:$C$42)-MIN(ROW('03.Muestra'!$D$8:$D$42))+1,""),ROW()-664)),"")</f>
        <v/>
      </c>
      <c r="C672" s="114" t="str" cm="1">
        <f t="array" ref="C672">IFERROR(INDEX('03.Muestra'!$F$8:$F$42,SMALL(IF("Página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t="str" cm="1">
        <f t="array" ref="A673">IFERROR(INDEX('03.Muestra'!$B$8:$B$42,SMALL(IF("Página Web"='03.Muestra'!$D$8:$D$42,ROW('03.Muestra'!$B$8:$B$42)-MIN(ROW('03.Muestra'!$D$8:$D$42))+1,""),ROW()-664)),"")</f>
        <v/>
      </c>
      <c r="B673" s="114" t="str" cm="1">
        <f t="array" ref="B673">IFERROR(INDEX('03.Muestra'!$C$8:$C$42,SMALL(IF("Página Web"='03.Muestra'!$D$8:$D$42,ROW('03.Muestra'!$C$8:$C$42)-MIN(ROW('03.Muestra'!$D$8:$D$42))+1,""),ROW()-664)),"")</f>
        <v/>
      </c>
      <c r="C673" s="114" t="str" cm="1">
        <f t="array" ref="C673">IFERROR(INDEX('03.Muestra'!$F$8:$F$42,SMALL(IF("Página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t="str" cm="1">
        <f t="array" ref="A674">IFERROR(INDEX('03.Muestra'!$B$8:$B$42,SMALL(IF("Página Web"='03.Muestra'!$D$8:$D$42,ROW('03.Muestra'!$B$8:$B$42)-MIN(ROW('03.Muestra'!$D$8:$D$42))+1,""),ROW()-664)),"")</f>
        <v/>
      </c>
      <c r="B674" s="114" t="str" cm="1">
        <f t="array" ref="B674">IFERROR(INDEX('03.Muestra'!$C$8:$C$42,SMALL(IF("Página Web"='03.Muestra'!$D$8:$D$42,ROW('03.Muestra'!$C$8:$C$42)-MIN(ROW('03.Muestra'!$D$8:$D$42))+1,""),ROW()-664)),"")</f>
        <v/>
      </c>
      <c r="C674" s="114" t="str" cm="1">
        <f t="array" ref="C674">IFERROR(INDEX('03.Muestra'!$F$8:$F$42,SMALL(IF("Página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t="str" cm="1">
        <f t="array" ref="A675">IFERROR(INDEX('03.Muestra'!$B$8:$B$42,SMALL(IF("Página Web"='03.Muestra'!$D$8:$D$42,ROW('03.Muestra'!$B$8:$B$42)-MIN(ROW('03.Muestra'!$D$8:$D$42))+1,""),ROW()-664)),"")</f>
        <v/>
      </c>
      <c r="B675" s="114" t="str" cm="1">
        <f t="array" ref="B675">IFERROR(INDEX('03.Muestra'!$C$8:$C$42,SMALL(IF("Página Web"='03.Muestra'!$D$8:$D$42,ROW('03.Muestra'!$C$8:$C$42)-MIN(ROW('03.Muestra'!$D$8:$D$42))+1,""),ROW()-664)),"")</f>
        <v/>
      </c>
      <c r="C675" s="114" t="str" cm="1">
        <f t="array" ref="C675">IFERROR(INDEX('03.Muestra'!$F$8:$F$42,SMALL(IF("Página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t="str" cm="1">
        <f t="array" ref="A676">IFERROR(INDEX('03.Muestra'!$B$8:$B$42,SMALL(IF("Página Web"='03.Muestra'!$D$8:$D$42,ROW('03.Muestra'!$B$8:$B$42)-MIN(ROW('03.Muestra'!$D$8:$D$42))+1,""),ROW()-664)),"")</f>
        <v/>
      </c>
      <c r="B676" s="114" t="str" cm="1">
        <f t="array" ref="B676">IFERROR(INDEX('03.Muestra'!$C$8:$C$42,SMALL(IF("Página Web"='03.Muestra'!$D$8:$D$42,ROW('03.Muestra'!$C$8:$C$42)-MIN(ROW('03.Muestra'!$D$8:$D$42))+1,""),ROW()-664)),"")</f>
        <v/>
      </c>
      <c r="C676" s="114" t="str" cm="1">
        <f t="array" ref="C676">IFERROR(INDEX('03.Muestra'!$F$8:$F$42,SMALL(IF("Página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t="str" cm="1">
        <f t="array" ref="A677">IFERROR(INDEX('03.Muestra'!$B$8:$B$42,SMALL(IF("Página Web"='03.Muestra'!$D$8:$D$42,ROW('03.Muestra'!$B$8:$B$42)-MIN(ROW('03.Muestra'!$D$8:$D$42))+1,""),ROW()-664)),"")</f>
        <v/>
      </c>
      <c r="B677" s="114" t="str" cm="1">
        <f t="array" ref="B677">IFERROR(INDEX('03.Muestra'!$C$8:$C$42,SMALL(IF("Página Web"='03.Muestra'!$D$8:$D$42,ROW('03.Muestra'!$C$8:$C$42)-MIN(ROW('03.Muestra'!$D$8:$D$42))+1,""),ROW()-664)),"")</f>
        <v/>
      </c>
      <c r="C677" s="114" t="str" cm="1">
        <f t="array" ref="C677">IFERROR(INDEX('03.Muestra'!$F$8:$F$42,SMALL(IF("Página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t="str" cm="1">
        <f t="array" ref="A678">IFERROR(INDEX('03.Muestra'!$B$8:$B$42,SMALL(IF("Página Web"='03.Muestra'!$D$8:$D$42,ROW('03.Muestra'!$B$8:$B$42)-MIN(ROW('03.Muestra'!$D$8:$D$42))+1,""),ROW()-664)),"")</f>
        <v/>
      </c>
      <c r="B678" s="114" t="str" cm="1">
        <f t="array" ref="B678">IFERROR(INDEX('03.Muestra'!$C$8:$C$42,SMALL(IF("Página Web"='03.Muestra'!$D$8:$D$42,ROW('03.Muestra'!$C$8:$C$42)-MIN(ROW('03.Muestra'!$D$8:$D$42))+1,""),ROW()-664)),"")</f>
        <v/>
      </c>
      <c r="C678" s="114" t="str" cm="1">
        <f t="array" ref="C678">IFERROR(INDEX('03.Muestra'!$F$8:$F$42,SMALL(IF("Página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t="str" cm="1">
        <f t="array" ref="A679">IFERROR(INDEX('03.Muestra'!$B$8:$B$42,SMALL(IF("Página Web"='03.Muestra'!$D$8:$D$42,ROW('03.Muestra'!$B$8:$B$42)-MIN(ROW('03.Muestra'!$D$8:$D$42))+1,""),ROW()-664)),"")</f>
        <v/>
      </c>
      <c r="B679" s="114" t="str" cm="1">
        <f t="array" ref="B679">IFERROR(INDEX('03.Muestra'!$C$8:$C$42,SMALL(IF("Página Web"='03.Muestra'!$D$8:$D$42,ROW('03.Muestra'!$C$8:$C$42)-MIN(ROW('03.Muestra'!$D$8:$D$42))+1,""),ROW()-664)),"")</f>
        <v/>
      </c>
      <c r="C679" s="114" t="str" cm="1">
        <f t="array" ref="C679">IFERROR(INDEX('03.Muestra'!$F$8:$F$42,SMALL(IF("Página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http://www.madrid.org/presupuestos</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Menu 1</v>
      </c>
      <c r="C704" s="114" t="str" cm="1">
        <f t="array" ref="C704">IFERROR(INDEX('03.Muestra'!$F$8:$F$42,SMALL(IF("Página Web"='03.Muestra'!$D$8:$D$42,ROW('03.Muestra'!$F$8:$F$42)-MIN(ROW('03.Muestra'!$D$8:$D$42))+1,""),ROW()-702)),"")</f>
        <v>http://www.madrid.org/presupuestos/index.php/presupuestos-generales/presupuestos-cm/2022</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5</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Menu 2</v>
      </c>
      <c r="C705" s="114" t="str" cm="1">
        <f t="array" ref="C705">IFERROR(INDEX('03.Muestra'!$F$8:$F$42,SMALL(IF("Página Web"='03.Muestra'!$D$8:$D$42,ROW('03.Muestra'!$F$8:$F$42)-MIN(ROW('03.Muestra'!$D$8:$D$42))+1,""),ROW()-702)),"")</f>
        <v>http://www.madrid.org/presupuestos/index.php/ejecucion-presupuestaria</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Menu 3</v>
      </c>
      <c r="C706" s="114" t="str" cm="1">
        <f t="array" ref="C706">IFERROR(INDEX('03.Muestra'!$F$8:$F$42,SMALL(IF("Página Web"='03.Muestra'!$D$8:$D$42,ROW('03.Muestra'!$F$8:$F$42)-MIN(ROW('03.Muestra'!$D$8:$D$42))+1,""),ROW()-702)),"")</f>
        <v>http://www.madrid.org/presupuestos/index.php/transparencia</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Accesibilidad</v>
      </c>
      <c r="C707" s="114" t="str" cm="1">
        <f t="array" ref="C707">IFERROR(INDEX('03.Muestra'!$F$8:$F$42,SMALL(IF("Página Web"='03.Muestra'!$D$8:$D$42,ROW('03.Muestra'!$F$8:$F$42)-MIN(ROW('03.Muestra'!$D$8:$D$42))+1,""),ROW()-702)),"")</f>
        <v>http://www.madrid.org/presupuestos/index.php/accesibilidad-web</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t="str" cm="1">
        <f t="array" ref="A708">IFERROR(INDEX('03.Muestra'!$B$8:$B$42,SMALL(IF("Página Web"='03.Muestra'!$D$8:$D$42,ROW('03.Muestra'!$B$8:$B$42)-MIN(ROW('03.Muestra'!$D$8:$D$42))+1,""),ROW()-702)),"")</f>
        <v/>
      </c>
      <c r="B708" s="114" t="str" cm="1">
        <f t="array" ref="B708">IFERROR(INDEX('03.Muestra'!$C$8:$C$42,SMALL(IF("Página Web"='03.Muestra'!$D$8:$D$42,ROW('03.Muestra'!$C$8:$C$42)-MIN(ROW('03.Muestra'!$D$8:$D$42))+1,""),ROW()-702)),"")</f>
        <v/>
      </c>
      <c r="C708" s="114" t="str" cm="1">
        <f t="array" ref="C708">IFERROR(INDEX('03.Muestra'!$F$8:$F$42,SMALL(IF("Página Web"='03.Muestra'!$D$8:$D$42,ROW('03.Muestra'!$F$8:$F$42)-MIN(ROW('03.Muestra'!$D$8:$D$42))+1,""),ROW()-702)),"")</f>
        <v/>
      </c>
      <c r="D708" s="130" t="str">
        <f t="shared" ref="D708:D737" si="37">IF(AND(B708&lt;&gt;"",C708&lt;&gt;""),"N/T","")</f>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t="str" cm="1">
        <f t="array" ref="A709">IFERROR(INDEX('03.Muestra'!$B$8:$B$42,SMALL(IF("Página Web"='03.Muestra'!$D$8:$D$42,ROW('03.Muestra'!$B$8:$B$42)-MIN(ROW('03.Muestra'!$D$8:$D$42))+1,""),ROW()-702)),"")</f>
        <v/>
      </c>
      <c r="B709" s="114" t="str" cm="1">
        <f t="array" ref="B709">IFERROR(INDEX('03.Muestra'!$C$8:$C$42,SMALL(IF("Página Web"='03.Muestra'!$D$8:$D$42,ROW('03.Muestra'!$C$8:$C$42)-MIN(ROW('03.Muestra'!$D$8:$D$42))+1,""),ROW()-702)),"")</f>
        <v/>
      </c>
      <c r="C709" s="114" t="str" cm="1">
        <f t="array" ref="C709">IFERROR(INDEX('03.Muestra'!$F$8:$F$42,SMALL(IF("Página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t="str" cm="1">
        <f t="array" ref="A710">IFERROR(INDEX('03.Muestra'!$B$8:$B$42,SMALL(IF("Página Web"='03.Muestra'!$D$8:$D$42,ROW('03.Muestra'!$B$8:$B$42)-MIN(ROW('03.Muestra'!$D$8:$D$42))+1,""),ROW()-702)),"")</f>
        <v/>
      </c>
      <c r="B710" s="114" t="str" cm="1">
        <f t="array" ref="B710">IFERROR(INDEX('03.Muestra'!$C$8:$C$42,SMALL(IF("Página Web"='03.Muestra'!$D$8:$D$42,ROW('03.Muestra'!$C$8:$C$42)-MIN(ROW('03.Muestra'!$D$8:$D$42))+1,""),ROW()-702)),"")</f>
        <v/>
      </c>
      <c r="C710" s="114" t="str" cm="1">
        <f t="array" ref="C710">IFERROR(INDEX('03.Muestra'!$F$8:$F$42,SMALL(IF("Página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t="str" cm="1">
        <f t="array" ref="A711">IFERROR(INDEX('03.Muestra'!$B$8:$B$42,SMALL(IF("Página Web"='03.Muestra'!$D$8:$D$42,ROW('03.Muestra'!$B$8:$B$42)-MIN(ROW('03.Muestra'!$D$8:$D$42))+1,""),ROW()-702)),"")</f>
        <v/>
      </c>
      <c r="B711" s="114" t="str" cm="1">
        <f t="array" ref="B711">IFERROR(INDEX('03.Muestra'!$C$8:$C$42,SMALL(IF("Página Web"='03.Muestra'!$D$8:$D$42,ROW('03.Muestra'!$C$8:$C$42)-MIN(ROW('03.Muestra'!$D$8:$D$42))+1,""),ROW()-702)),"")</f>
        <v/>
      </c>
      <c r="C711" s="114" t="str" cm="1">
        <f t="array" ref="C711">IFERROR(INDEX('03.Muestra'!$F$8:$F$42,SMALL(IF("Página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t="str" cm="1">
        <f t="array" ref="A712">IFERROR(INDEX('03.Muestra'!$B$8:$B$42,SMALL(IF("Página Web"='03.Muestra'!$D$8:$D$42,ROW('03.Muestra'!$B$8:$B$42)-MIN(ROW('03.Muestra'!$D$8:$D$42))+1,""),ROW()-702)),"")</f>
        <v/>
      </c>
      <c r="B712" s="114" t="str" cm="1">
        <f t="array" ref="B712">IFERROR(INDEX('03.Muestra'!$C$8:$C$42,SMALL(IF("Página Web"='03.Muestra'!$D$8:$D$42,ROW('03.Muestra'!$C$8:$C$42)-MIN(ROW('03.Muestra'!$D$8:$D$42))+1,""),ROW()-702)),"")</f>
        <v/>
      </c>
      <c r="C712" s="114" t="str" cm="1">
        <f t="array" ref="C712">IFERROR(INDEX('03.Muestra'!$F$8:$F$42,SMALL(IF("Página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t="str" cm="1">
        <f t="array" ref="A713">IFERROR(INDEX('03.Muestra'!$B$8:$B$42,SMALL(IF("Página Web"='03.Muestra'!$D$8:$D$42,ROW('03.Muestra'!$B$8:$B$42)-MIN(ROW('03.Muestra'!$D$8:$D$42))+1,""),ROW()-702)),"")</f>
        <v/>
      </c>
      <c r="B713" s="114" t="str" cm="1">
        <f t="array" ref="B713">IFERROR(INDEX('03.Muestra'!$C$8:$C$42,SMALL(IF("Página Web"='03.Muestra'!$D$8:$D$42,ROW('03.Muestra'!$C$8:$C$42)-MIN(ROW('03.Muestra'!$D$8:$D$42))+1,""),ROW()-702)),"")</f>
        <v/>
      </c>
      <c r="C713" s="114" t="str" cm="1">
        <f t="array" ref="C713">IFERROR(INDEX('03.Muestra'!$F$8:$F$42,SMALL(IF("Página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t="str" cm="1">
        <f t="array" ref="A714">IFERROR(INDEX('03.Muestra'!$B$8:$B$42,SMALL(IF("Página Web"='03.Muestra'!$D$8:$D$42,ROW('03.Muestra'!$B$8:$B$42)-MIN(ROW('03.Muestra'!$D$8:$D$42))+1,""),ROW()-702)),"")</f>
        <v/>
      </c>
      <c r="B714" s="114" t="str" cm="1">
        <f t="array" ref="B714">IFERROR(INDEX('03.Muestra'!$C$8:$C$42,SMALL(IF("Página Web"='03.Muestra'!$D$8:$D$42,ROW('03.Muestra'!$C$8:$C$42)-MIN(ROW('03.Muestra'!$D$8:$D$42))+1,""),ROW()-702)),"")</f>
        <v/>
      </c>
      <c r="C714" s="114" t="str" cm="1">
        <f t="array" ref="C714">IFERROR(INDEX('03.Muestra'!$F$8:$F$42,SMALL(IF("Página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t="str" cm="1">
        <f t="array" ref="A715">IFERROR(INDEX('03.Muestra'!$B$8:$B$42,SMALL(IF("Página Web"='03.Muestra'!$D$8:$D$42,ROW('03.Muestra'!$B$8:$B$42)-MIN(ROW('03.Muestra'!$D$8:$D$42))+1,""),ROW()-702)),"")</f>
        <v/>
      </c>
      <c r="B715" s="114" t="str" cm="1">
        <f t="array" ref="B715">IFERROR(INDEX('03.Muestra'!$C$8:$C$42,SMALL(IF("Página Web"='03.Muestra'!$D$8:$D$42,ROW('03.Muestra'!$C$8:$C$42)-MIN(ROW('03.Muestra'!$D$8:$D$42))+1,""),ROW()-702)),"")</f>
        <v/>
      </c>
      <c r="C715" s="114" t="str" cm="1">
        <f t="array" ref="C715">IFERROR(INDEX('03.Muestra'!$F$8:$F$42,SMALL(IF("Página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t="str" cm="1">
        <f t="array" ref="A716">IFERROR(INDEX('03.Muestra'!$B$8:$B$42,SMALL(IF("Página Web"='03.Muestra'!$D$8:$D$42,ROW('03.Muestra'!$B$8:$B$42)-MIN(ROW('03.Muestra'!$D$8:$D$42))+1,""),ROW()-702)),"")</f>
        <v/>
      </c>
      <c r="B716" s="114" t="str" cm="1">
        <f t="array" ref="B716">IFERROR(INDEX('03.Muestra'!$C$8:$C$42,SMALL(IF("Página Web"='03.Muestra'!$D$8:$D$42,ROW('03.Muestra'!$C$8:$C$42)-MIN(ROW('03.Muestra'!$D$8:$D$42))+1,""),ROW()-702)),"")</f>
        <v/>
      </c>
      <c r="C716" s="114" t="str" cm="1">
        <f t="array" ref="C716">IFERROR(INDEX('03.Muestra'!$F$8:$F$42,SMALL(IF("Página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t="str" cm="1">
        <f t="array" ref="A717">IFERROR(INDEX('03.Muestra'!$B$8:$B$42,SMALL(IF("Página Web"='03.Muestra'!$D$8:$D$42,ROW('03.Muestra'!$B$8:$B$42)-MIN(ROW('03.Muestra'!$D$8:$D$42))+1,""),ROW()-702)),"")</f>
        <v/>
      </c>
      <c r="B717" s="114" t="str" cm="1">
        <f t="array" ref="B717">IFERROR(INDEX('03.Muestra'!$C$8:$C$42,SMALL(IF("Página Web"='03.Muestra'!$D$8:$D$42,ROW('03.Muestra'!$C$8:$C$42)-MIN(ROW('03.Muestra'!$D$8:$D$42))+1,""),ROW()-702)),"")</f>
        <v/>
      </c>
      <c r="C717" s="114" t="str" cm="1">
        <f t="array" ref="C717">IFERROR(INDEX('03.Muestra'!$F$8:$F$42,SMALL(IF("Página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http://www.madrid.org/presupuestos</v>
      </c>
      <c r="D741" s="130" t="s">
        <v>26</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Menu 1</v>
      </c>
      <c r="C742" s="114" t="str" cm="1">
        <f t="array" ref="C742">IFERROR(INDEX('03.Muestra'!$F$8:$F$42,SMALL(IF("Página Web"='03.Muestra'!$D$8:$D$42,ROW('03.Muestra'!$F$8:$F$42)-MIN(ROW('03.Muestra'!$D$8:$D$42))+1,""),ROW()-740)),"")</f>
        <v>http://www.madrid.org/presupuestos/index.php/presupuestos-generales/presupuestos-cm/2022</v>
      </c>
      <c r="D742" s="130" t="s">
        <v>26</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5</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Menu 2</v>
      </c>
      <c r="C743" s="114" t="str" cm="1">
        <f t="array" ref="C743">IFERROR(INDEX('03.Muestra'!$F$8:$F$42,SMALL(IF("Página Web"='03.Muestra'!$D$8:$D$42,ROW('03.Muestra'!$F$8:$F$42)-MIN(ROW('03.Muestra'!$D$8:$D$42))+1,""),ROW()-740)),"")</f>
        <v>http://www.madrid.org/presupuestos/index.php/ejecucion-presupuestaria</v>
      </c>
      <c r="D743" s="130" t="s">
        <v>26</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Menu 3</v>
      </c>
      <c r="C744" s="114" t="str" cm="1">
        <f t="array" ref="C744">IFERROR(INDEX('03.Muestra'!$F$8:$F$42,SMALL(IF("Página Web"='03.Muestra'!$D$8:$D$42,ROW('03.Muestra'!$F$8:$F$42)-MIN(ROW('03.Muestra'!$D$8:$D$42))+1,""),ROW()-740)),"")</f>
        <v>http://www.madrid.org/presupuestos/index.php/transparencia</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Accesibilidad</v>
      </c>
      <c r="C745" s="114" t="str" cm="1">
        <f t="array" ref="C745">IFERROR(INDEX('03.Muestra'!$F$8:$F$42,SMALL(IF("Página Web"='03.Muestra'!$D$8:$D$42,ROW('03.Muestra'!$F$8:$F$42)-MIN(ROW('03.Muestra'!$D$8:$D$42))+1,""),ROW()-740)),"")</f>
        <v>http://www.madrid.org/presupuestos/index.php/accesibilidad-web</v>
      </c>
      <c r="D745" s="130" t="s">
        <v>26</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IFERROR(INDEX('03.Muestra'!$B$8:$B$42,SMALL(IF("Página Web"='03.Muestra'!$D$8:$D$42,ROW('03.Muestra'!$B$8:$B$42)-MIN(ROW('03.Muestra'!$D$8:$D$42))+1,""),ROW()-740)),"")</f>
        <v/>
      </c>
      <c r="B746" s="114" t="str" cm="1">
        <f t="array" ref="B746">IFERROR(INDEX('03.Muestra'!$C$8:$C$42,SMALL(IF("Página Web"='03.Muestra'!$D$8:$D$42,ROW('03.Muestra'!$C$8:$C$42)-MIN(ROW('03.Muestra'!$D$8:$D$42))+1,""),ROW()-740)),"")</f>
        <v/>
      </c>
      <c r="C746" s="114" t="str" cm="1">
        <f t="array" ref="C746">IFERROR(INDEX('03.Muestra'!$F$8:$F$42,SMALL(IF("Página Web"='03.Muestra'!$D$8:$D$42,ROW('03.Muestra'!$F$8:$F$42)-MIN(ROW('03.Muestra'!$D$8:$D$42))+1,""),ROW()-740)),"")</f>
        <v/>
      </c>
      <c r="D746" s="130" t="str">
        <f t="shared" ref="D746:D775" si="39">IF(AND(B746&lt;&gt;"",C746&lt;&gt;""),"N/T","")</f>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IFERROR(INDEX('03.Muestra'!$B$8:$B$42,SMALL(IF("Página Web"='03.Muestra'!$D$8:$D$42,ROW('03.Muestra'!$B$8:$B$42)-MIN(ROW('03.Muestra'!$D$8:$D$42))+1,""),ROW()-740)),"")</f>
        <v/>
      </c>
      <c r="B747" s="114" t="str" cm="1">
        <f t="array" ref="B747">IFERROR(INDEX('03.Muestra'!$C$8:$C$42,SMALL(IF("Página Web"='03.Muestra'!$D$8:$D$42,ROW('03.Muestra'!$C$8:$C$42)-MIN(ROW('03.Muestra'!$D$8:$D$42))+1,""),ROW()-740)),"")</f>
        <v/>
      </c>
      <c r="C747" s="114" t="str" cm="1">
        <f t="array" ref="C747">IFERROR(INDEX('03.Muestra'!$F$8:$F$42,SMALL(IF("Página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IFERROR(INDEX('03.Muestra'!$B$8:$B$42,SMALL(IF("Página Web"='03.Muestra'!$D$8:$D$42,ROW('03.Muestra'!$B$8:$B$42)-MIN(ROW('03.Muestra'!$D$8:$D$42))+1,""),ROW()-740)),"")</f>
        <v/>
      </c>
      <c r="B748" s="114" t="str" cm="1">
        <f t="array" ref="B748">IFERROR(INDEX('03.Muestra'!$C$8:$C$42,SMALL(IF("Página Web"='03.Muestra'!$D$8:$D$42,ROW('03.Muestra'!$C$8:$C$42)-MIN(ROW('03.Muestra'!$D$8:$D$42))+1,""),ROW()-740)),"")</f>
        <v/>
      </c>
      <c r="C748" s="114" t="str" cm="1">
        <f t="array" ref="C748">IFERROR(INDEX('03.Muestra'!$F$8:$F$42,SMALL(IF("Página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IFERROR(INDEX('03.Muestra'!$B$8:$B$42,SMALL(IF("Página Web"='03.Muestra'!$D$8:$D$42,ROW('03.Muestra'!$B$8:$B$42)-MIN(ROW('03.Muestra'!$D$8:$D$42))+1,""),ROW()-740)),"")</f>
        <v/>
      </c>
      <c r="B749" s="114" t="str" cm="1">
        <f t="array" ref="B749">IFERROR(INDEX('03.Muestra'!$C$8:$C$42,SMALL(IF("Página Web"='03.Muestra'!$D$8:$D$42,ROW('03.Muestra'!$C$8:$C$42)-MIN(ROW('03.Muestra'!$D$8:$D$42))+1,""),ROW()-740)),"")</f>
        <v/>
      </c>
      <c r="C749" s="114" t="str" cm="1">
        <f t="array" ref="C749">IFERROR(INDEX('03.Muestra'!$F$8:$F$42,SMALL(IF("Página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IFERROR(INDEX('03.Muestra'!$B$8:$B$42,SMALL(IF("Página Web"='03.Muestra'!$D$8:$D$42,ROW('03.Muestra'!$B$8:$B$42)-MIN(ROW('03.Muestra'!$D$8:$D$42))+1,""),ROW()-740)),"")</f>
        <v/>
      </c>
      <c r="B750" s="114" t="str" cm="1">
        <f t="array" ref="B750">IFERROR(INDEX('03.Muestra'!$C$8:$C$42,SMALL(IF("Página Web"='03.Muestra'!$D$8:$D$42,ROW('03.Muestra'!$C$8:$C$42)-MIN(ROW('03.Muestra'!$D$8:$D$42))+1,""),ROW()-740)),"")</f>
        <v/>
      </c>
      <c r="C750" s="114" t="str" cm="1">
        <f t="array" ref="C750">IFERROR(INDEX('03.Muestra'!$F$8:$F$42,SMALL(IF("Página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IFERROR(INDEX('03.Muestra'!$B$8:$B$42,SMALL(IF("Página Web"='03.Muestra'!$D$8:$D$42,ROW('03.Muestra'!$B$8:$B$42)-MIN(ROW('03.Muestra'!$D$8:$D$42))+1,""),ROW()-740)),"")</f>
        <v/>
      </c>
      <c r="B751" s="114" t="str" cm="1">
        <f t="array" ref="B751">IFERROR(INDEX('03.Muestra'!$C$8:$C$42,SMALL(IF("Página Web"='03.Muestra'!$D$8:$D$42,ROW('03.Muestra'!$C$8:$C$42)-MIN(ROW('03.Muestra'!$D$8:$D$42))+1,""),ROW()-740)),"")</f>
        <v/>
      </c>
      <c r="C751" s="114" t="str" cm="1">
        <f t="array" ref="C751">IFERROR(INDEX('03.Muestra'!$F$8:$F$42,SMALL(IF("Página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IFERROR(INDEX('03.Muestra'!$B$8:$B$42,SMALL(IF("Página Web"='03.Muestra'!$D$8:$D$42,ROW('03.Muestra'!$B$8:$B$42)-MIN(ROW('03.Muestra'!$D$8:$D$42))+1,""),ROW()-740)),"")</f>
        <v/>
      </c>
      <c r="B752" s="114" t="str" cm="1">
        <f t="array" ref="B752">IFERROR(INDEX('03.Muestra'!$C$8:$C$42,SMALL(IF("Página Web"='03.Muestra'!$D$8:$D$42,ROW('03.Muestra'!$C$8:$C$42)-MIN(ROW('03.Muestra'!$D$8:$D$42))+1,""),ROW()-740)),"")</f>
        <v/>
      </c>
      <c r="C752" s="114" t="str" cm="1">
        <f t="array" ref="C752">IFERROR(INDEX('03.Muestra'!$F$8:$F$42,SMALL(IF("Página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IFERROR(INDEX('03.Muestra'!$B$8:$B$42,SMALL(IF("Página Web"='03.Muestra'!$D$8:$D$42,ROW('03.Muestra'!$B$8:$B$42)-MIN(ROW('03.Muestra'!$D$8:$D$42))+1,""),ROW()-740)),"")</f>
        <v/>
      </c>
      <c r="B753" s="114" t="str" cm="1">
        <f t="array" ref="B753">IFERROR(INDEX('03.Muestra'!$C$8:$C$42,SMALL(IF("Página Web"='03.Muestra'!$D$8:$D$42,ROW('03.Muestra'!$C$8:$C$42)-MIN(ROW('03.Muestra'!$D$8:$D$42))+1,""),ROW()-740)),"")</f>
        <v/>
      </c>
      <c r="C753" s="114" t="str" cm="1">
        <f t="array" ref="C753">IFERROR(INDEX('03.Muestra'!$F$8:$F$42,SMALL(IF("Página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IFERROR(INDEX('03.Muestra'!$B$8:$B$42,SMALL(IF("Página Web"='03.Muestra'!$D$8:$D$42,ROW('03.Muestra'!$B$8:$B$42)-MIN(ROW('03.Muestra'!$D$8:$D$42))+1,""),ROW()-740)),"")</f>
        <v/>
      </c>
      <c r="B754" s="114" t="str" cm="1">
        <f t="array" ref="B754">IFERROR(INDEX('03.Muestra'!$C$8:$C$42,SMALL(IF("Página Web"='03.Muestra'!$D$8:$D$42,ROW('03.Muestra'!$C$8:$C$42)-MIN(ROW('03.Muestra'!$D$8:$D$42))+1,""),ROW()-740)),"")</f>
        <v/>
      </c>
      <c r="C754" s="114" t="str" cm="1">
        <f t="array" ref="C754">IFERROR(INDEX('03.Muestra'!$F$8:$F$42,SMALL(IF("Página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IFERROR(INDEX('03.Muestra'!$B$8:$B$42,SMALL(IF("Página Web"='03.Muestra'!$D$8:$D$42,ROW('03.Muestra'!$B$8:$B$42)-MIN(ROW('03.Muestra'!$D$8:$D$42))+1,""),ROW()-740)),"")</f>
        <v/>
      </c>
      <c r="B755" s="114" t="str" cm="1">
        <f t="array" ref="B755">IFERROR(INDEX('03.Muestra'!$C$8:$C$42,SMALL(IF("Página Web"='03.Muestra'!$D$8:$D$42,ROW('03.Muestra'!$C$8:$C$42)-MIN(ROW('03.Muestra'!$D$8:$D$42))+1,""),ROW()-740)),"")</f>
        <v/>
      </c>
      <c r="C755" s="114" t="str" cm="1">
        <f t="array" ref="C755">IFERROR(INDEX('03.Muestra'!$F$8:$F$42,SMALL(IF("Página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IFERROR(INDEX('03.Muestra'!$B$8:$B$42,SMALL(IF("Página Web"='03.Muestra'!$D$8:$D$42,ROW('03.Muestra'!$B$8:$B$42)-MIN(ROW('03.Muestra'!$D$8:$D$42))+1,""),ROW()-740)),"")</f>
        <v/>
      </c>
      <c r="B756" s="114" t="str" cm="1">
        <f t="array" ref="B756">IFERROR(INDEX('03.Muestra'!$C$8:$C$42,SMALL(IF("Página Web"='03.Muestra'!$D$8:$D$42,ROW('03.Muestra'!$C$8:$C$42)-MIN(ROW('03.Muestra'!$D$8:$D$42))+1,""),ROW()-740)),"")</f>
        <v/>
      </c>
      <c r="C756" s="114" t="str" cm="1">
        <f t="array" ref="C756">IFERROR(INDEX('03.Muestra'!$F$8:$F$42,SMALL(IF("Página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http://www.madrid.org/presupuestos</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Menu 1</v>
      </c>
      <c r="C780" s="114" t="str" cm="1">
        <f t="array" ref="C780">IFERROR(INDEX('03.Muestra'!$F$8:$F$42,SMALL(IF("Página Web"='03.Muestra'!$D$8:$D$42,ROW('03.Muestra'!$F$8:$F$42)-MIN(ROW('03.Muestra'!$D$8:$D$42))+1,""),ROW()-778)),"")</f>
        <v>http://www.madrid.org/presupuestos/index.php/presupuestos-generales/presupuestos-cm/2022</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5</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Menu 2</v>
      </c>
      <c r="C781" s="114" t="str" cm="1">
        <f t="array" ref="C781">IFERROR(INDEX('03.Muestra'!$F$8:$F$42,SMALL(IF("Página Web"='03.Muestra'!$D$8:$D$42,ROW('03.Muestra'!$F$8:$F$42)-MIN(ROW('03.Muestra'!$D$8:$D$42))+1,""),ROW()-778)),"")</f>
        <v>http://www.madrid.org/presupuestos/index.php/ejecucion-presupuestaria</v>
      </c>
      <c r="D781" s="130" t="s">
        <v>26</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Menu 3</v>
      </c>
      <c r="C782" s="114" t="str" cm="1">
        <f t="array" ref="C782">IFERROR(INDEX('03.Muestra'!$F$8:$F$42,SMALL(IF("Página Web"='03.Muestra'!$D$8:$D$42,ROW('03.Muestra'!$F$8:$F$42)-MIN(ROW('03.Muestra'!$D$8:$D$42))+1,""),ROW()-778)),"")</f>
        <v>http://www.madrid.org/presupuestos/index.php/transparencia</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Accesibilidad</v>
      </c>
      <c r="C783" s="114" t="str" cm="1">
        <f t="array" ref="C783">IFERROR(INDEX('03.Muestra'!$F$8:$F$42,SMALL(IF("Página Web"='03.Muestra'!$D$8:$D$42,ROW('03.Muestra'!$F$8:$F$42)-MIN(ROW('03.Muestra'!$D$8:$D$42))+1,""),ROW()-778)),"")</f>
        <v>http://www.madrid.org/presupuestos/index.php/accesibilidad-web</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t="str" cm="1">
        <f t="array" ref="A784">IFERROR(INDEX('03.Muestra'!$B$8:$B$42,SMALL(IF("Página Web"='03.Muestra'!$D$8:$D$42,ROW('03.Muestra'!$B$8:$B$42)-MIN(ROW('03.Muestra'!$D$8:$D$42))+1,""),ROW()-778)),"")</f>
        <v/>
      </c>
      <c r="B784" s="114" t="str" cm="1">
        <f t="array" ref="B784">IFERROR(INDEX('03.Muestra'!$C$8:$C$42,SMALL(IF("Página Web"='03.Muestra'!$D$8:$D$42,ROW('03.Muestra'!$C$8:$C$42)-MIN(ROW('03.Muestra'!$D$8:$D$42))+1,""),ROW()-778)),"")</f>
        <v/>
      </c>
      <c r="C784" s="114" t="str" cm="1">
        <f t="array" ref="C784">IFERROR(INDEX('03.Muestra'!$F$8:$F$42,SMALL(IF("Página Web"='03.Muestra'!$D$8:$D$42,ROW('03.Muestra'!$F$8:$F$42)-MIN(ROW('03.Muestra'!$D$8:$D$42))+1,""),ROW()-778)),"")</f>
        <v/>
      </c>
      <c r="D784" s="130" t="str">
        <f t="shared" ref="D784:D813" si="41">IF(AND(B784&lt;&gt;"",C784&lt;&gt;""),"N/T","")</f>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t="str" cm="1">
        <f t="array" ref="A785">IFERROR(INDEX('03.Muestra'!$B$8:$B$42,SMALL(IF("Página Web"='03.Muestra'!$D$8:$D$42,ROW('03.Muestra'!$B$8:$B$42)-MIN(ROW('03.Muestra'!$D$8:$D$42))+1,""),ROW()-778)),"")</f>
        <v/>
      </c>
      <c r="B785" s="114" t="str" cm="1">
        <f t="array" ref="B785">IFERROR(INDEX('03.Muestra'!$C$8:$C$42,SMALL(IF("Página Web"='03.Muestra'!$D$8:$D$42,ROW('03.Muestra'!$C$8:$C$42)-MIN(ROW('03.Muestra'!$D$8:$D$42))+1,""),ROW()-778)),"")</f>
        <v/>
      </c>
      <c r="C785" s="114" t="str" cm="1">
        <f t="array" ref="C785">IFERROR(INDEX('03.Muestra'!$F$8:$F$42,SMALL(IF("Página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t="str" cm="1">
        <f t="array" ref="A786">IFERROR(INDEX('03.Muestra'!$B$8:$B$42,SMALL(IF("Página Web"='03.Muestra'!$D$8:$D$42,ROW('03.Muestra'!$B$8:$B$42)-MIN(ROW('03.Muestra'!$D$8:$D$42))+1,""),ROW()-778)),"")</f>
        <v/>
      </c>
      <c r="B786" s="114" t="str" cm="1">
        <f t="array" ref="B786">IFERROR(INDEX('03.Muestra'!$C$8:$C$42,SMALL(IF("Página Web"='03.Muestra'!$D$8:$D$42,ROW('03.Muestra'!$C$8:$C$42)-MIN(ROW('03.Muestra'!$D$8:$D$42))+1,""),ROW()-778)),"")</f>
        <v/>
      </c>
      <c r="C786" s="114" t="str" cm="1">
        <f t="array" ref="C786">IFERROR(INDEX('03.Muestra'!$F$8:$F$42,SMALL(IF("Página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t="str" cm="1">
        <f t="array" ref="A787">IFERROR(INDEX('03.Muestra'!$B$8:$B$42,SMALL(IF("Página Web"='03.Muestra'!$D$8:$D$42,ROW('03.Muestra'!$B$8:$B$42)-MIN(ROW('03.Muestra'!$D$8:$D$42))+1,""),ROW()-778)),"")</f>
        <v/>
      </c>
      <c r="B787" s="114" t="str" cm="1">
        <f t="array" ref="B787">IFERROR(INDEX('03.Muestra'!$C$8:$C$42,SMALL(IF("Página Web"='03.Muestra'!$D$8:$D$42,ROW('03.Muestra'!$C$8:$C$42)-MIN(ROW('03.Muestra'!$D$8:$D$42))+1,""),ROW()-778)),"")</f>
        <v/>
      </c>
      <c r="C787" s="114" t="str" cm="1">
        <f t="array" ref="C787">IFERROR(INDEX('03.Muestra'!$F$8:$F$42,SMALL(IF("Página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t="str" cm="1">
        <f t="array" ref="A788">IFERROR(INDEX('03.Muestra'!$B$8:$B$42,SMALL(IF("Página Web"='03.Muestra'!$D$8:$D$42,ROW('03.Muestra'!$B$8:$B$42)-MIN(ROW('03.Muestra'!$D$8:$D$42))+1,""),ROW()-778)),"")</f>
        <v/>
      </c>
      <c r="B788" s="114" t="str" cm="1">
        <f t="array" ref="B788">IFERROR(INDEX('03.Muestra'!$C$8:$C$42,SMALL(IF("Página Web"='03.Muestra'!$D$8:$D$42,ROW('03.Muestra'!$C$8:$C$42)-MIN(ROW('03.Muestra'!$D$8:$D$42))+1,""),ROW()-778)),"")</f>
        <v/>
      </c>
      <c r="C788" s="114" t="str" cm="1">
        <f t="array" ref="C788">IFERROR(INDEX('03.Muestra'!$F$8:$F$42,SMALL(IF("Página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t="str" cm="1">
        <f t="array" ref="A789">IFERROR(INDEX('03.Muestra'!$B$8:$B$42,SMALL(IF("Página Web"='03.Muestra'!$D$8:$D$42,ROW('03.Muestra'!$B$8:$B$42)-MIN(ROW('03.Muestra'!$D$8:$D$42))+1,""),ROW()-778)),"")</f>
        <v/>
      </c>
      <c r="B789" s="114" t="str" cm="1">
        <f t="array" ref="B789">IFERROR(INDEX('03.Muestra'!$C$8:$C$42,SMALL(IF("Página Web"='03.Muestra'!$D$8:$D$42,ROW('03.Muestra'!$C$8:$C$42)-MIN(ROW('03.Muestra'!$D$8:$D$42))+1,""),ROW()-778)),"")</f>
        <v/>
      </c>
      <c r="C789" s="114" t="str" cm="1">
        <f t="array" ref="C789">IFERROR(INDEX('03.Muestra'!$F$8:$F$42,SMALL(IF("Página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t="str" cm="1">
        <f t="array" ref="A790">IFERROR(INDEX('03.Muestra'!$B$8:$B$42,SMALL(IF("Página Web"='03.Muestra'!$D$8:$D$42,ROW('03.Muestra'!$B$8:$B$42)-MIN(ROW('03.Muestra'!$D$8:$D$42))+1,""),ROW()-778)),"")</f>
        <v/>
      </c>
      <c r="B790" s="114" t="str" cm="1">
        <f t="array" ref="B790">IFERROR(INDEX('03.Muestra'!$C$8:$C$42,SMALL(IF("Página Web"='03.Muestra'!$D$8:$D$42,ROW('03.Muestra'!$C$8:$C$42)-MIN(ROW('03.Muestra'!$D$8:$D$42))+1,""),ROW()-778)),"")</f>
        <v/>
      </c>
      <c r="C790" s="114" t="str" cm="1">
        <f t="array" ref="C790">IFERROR(INDEX('03.Muestra'!$F$8:$F$42,SMALL(IF("Página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t="str" cm="1">
        <f t="array" ref="A791">IFERROR(INDEX('03.Muestra'!$B$8:$B$42,SMALL(IF("Página Web"='03.Muestra'!$D$8:$D$42,ROW('03.Muestra'!$B$8:$B$42)-MIN(ROW('03.Muestra'!$D$8:$D$42))+1,""),ROW()-778)),"")</f>
        <v/>
      </c>
      <c r="B791" s="114" t="str" cm="1">
        <f t="array" ref="B791">IFERROR(INDEX('03.Muestra'!$C$8:$C$42,SMALL(IF("Página Web"='03.Muestra'!$D$8:$D$42,ROW('03.Muestra'!$C$8:$C$42)-MIN(ROW('03.Muestra'!$D$8:$D$42))+1,""),ROW()-778)),"")</f>
        <v/>
      </c>
      <c r="C791" s="114" t="str" cm="1">
        <f t="array" ref="C791">IFERROR(INDEX('03.Muestra'!$F$8:$F$42,SMALL(IF("Página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t="str" cm="1">
        <f t="array" ref="A792">IFERROR(INDEX('03.Muestra'!$B$8:$B$42,SMALL(IF("Página Web"='03.Muestra'!$D$8:$D$42,ROW('03.Muestra'!$B$8:$B$42)-MIN(ROW('03.Muestra'!$D$8:$D$42))+1,""),ROW()-778)),"")</f>
        <v/>
      </c>
      <c r="B792" s="114" t="str" cm="1">
        <f t="array" ref="B792">IFERROR(INDEX('03.Muestra'!$C$8:$C$42,SMALL(IF("Página Web"='03.Muestra'!$D$8:$D$42,ROW('03.Muestra'!$C$8:$C$42)-MIN(ROW('03.Muestra'!$D$8:$D$42))+1,""),ROW()-778)),"")</f>
        <v/>
      </c>
      <c r="C792" s="114" t="str" cm="1">
        <f t="array" ref="C792">IFERROR(INDEX('03.Muestra'!$F$8:$F$42,SMALL(IF("Página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t="str" cm="1">
        <f t="array" ref="A793">IFERROR(INDEX('03.Muestra'!$B$8:$B$42,SMALL(IF("Página Web"='03.Muestra'!$D$8:$D$42,ROW('03.Muestra'!$B$8:$B$42)-MIN(ROW('03.Muestra'!$D$8:$D$42))+1,""),ROW()-778)),"")</f>
        <v/>
      </c>
      <c r="B793" s="114" t="str" cm="1">
        <f t="array" ref="B793">IFERROR(INDEX('03.Muestra'!$C$8:$C$42,SMALL(IF("Página Web"='03.Muestra'!$D$8:$D$42,ROW('03.Muestra'!$C$8:$C$42)-MIN(ROW('03.Muestra'!$D$8:$D$42))+1,""),ROW()-778)),"")</f>
        <v/>
      </c>
      <c r="C793" s="114" t="str" cm="1">
        <f t="array" ref="C793">IFERROR(INDEX('03.Muestra'!$F$8:$F$42,SMALL(IF("Página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t="str" cm="1">
        <f t="array" ref="A794">IFERROR(INDEX('03.Muestra'!$B$8:$B$42,SMALL(IF("Página Web"='03.Muestra'!$D$8:$D$42,ROW('03.Muestra'!$B$8:$B$42)-MIN(ROW('03.Muestra'!$D$8:$D$42))+1,""),ROW()-778)),"")</f>
        <v/>
      </c>
      <c r="B794" s="114" t="str" cm="1">
        <f t="array" ref="B794">IFERROR(INDEX('03.Muestra'!$C$8:$C$42,SMALL(IF("Página Web"='03.Muestra'!$D$8:$D$42,ROW('03.Muestra'!$C$8:$C$42)-MIN(ROW('03.Muestra'!$D$8:$D$42))+1,""),ROW()-778)),"")</f>
        <v/>
      </c>
      <c r="C794" s="114" t="str" cm="1">
        <f t="array" ref="C794">IFERROR(INDEX('03.Muestra'!$F$8:$F$42,SMALL(IF("Página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http://www.madrid.org/presupuestos</v>
      </c>
      <c r="D817" s="130" t="s">
        <v>26</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Menu 1</v>
      </c>
      <c r="C818" s="114" t="str" cm="1">
        <f t="array" ref="C818">IFERROR(INDEX('03.Muestra'!$F$8:$F$42,SMALL(IF("Página Web"='03.Muestra'!$D$8:$D$42,ROW('03.Muestra'!$F$8:$F$42)-MIN(ROW('03.Muestra'!$D$8:$D$42))+1,""),ROW()-816)),"")</f>
        <v>http://www.madrid.org/presupuestos/index.php/presupuestos-generales/presupuestos-cm/2022</v>
      </c>
      <c r="D818" s="130" t="s">
        <v>26</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5</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Menu 2</v>
      </c>
      <c r="C819" s="114" t="str" cm="1">
        <f t="array" ref="C819">IFERROR(INDEX('03.Muestra'!$F$8:$F$42,SMALL(IF("Página Web"='03.Muestra'!$D$8:$D$42,ROW('03.Muestra'!$F$8:$F$42)-MIN(ROW('03.Muestra'!$D$8:$D$42))+1,""),ROW()-816)),"")</f>
        <v>http://www.madrid.org/presupuestos/index.php/ejecucion-presupuestaria</v>
      </c>
      <c r="D819" s="130" t="s">
        <v>26</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Menu 3</v>
      </c>
      <c r="C820" s="114" t="str" cm="1">
        <f t="array" ref="C820">IFERROR(INDEX('03.Muestra'!$F$8:$F$42,SMALL(IF("Página Web"='03.Muestra'!$D$8:$D$42,ROW('03.Muestra'!$F$8:$F$42)-MIN(ROW('03.Muestra'!$D$8:$D$42))+1,""),ROW()-816)),"")</f>
        <v>http://www.madrid.org/presupuestos/index.php/transparencia</v>
      </c>
      <c r="D820" s="130" t="s">
        <v>26</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Accesibilidad</v>
      </c>
      <c r="C821" s="114" t="str" cm="1">
        <f t="array" ref="C821">IFERROR(INDEX('03.Muestra'!$F$8:$F$42,SMALL(IF("Página Web"='03.Muestra'!$D$8:$D$42,ROW('03.Muestra'!$F$8:$F$42)-MIN(ROW('03.Muestra'!$D$8:$D$42))+1,""),ROW()-816)),"")</f>
        <v>http://www.madrid.org/presupuestos/index.php/accesibilidad-web</v>
      </c>
      <c r="D821" s="130" t="s">
        <v>26</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t="str" cm="1">
        <f t="array" ref="A822">IFERROR(INDEX('03.Muestra'!$B$8:$B$42,SMALL(IF("Página Web"='03.Muestra'!$D$8:$D$42,ROW('03.Muestra'!$B$8:$B$42)-MIN(ROW('03.Muestra'!$D$8:$D$42))+1,""),ROW()-816)),"")</f>
        <v/>
      </c>
      <c r="B822" s="114" t="str" cm="1">
        <f t="array" ref="B822">IFERROR(INDEX('03.Muestra'!$C$8:$C$42,SMALL(IF("Página Web"='03.Muestra'!$D$8:$D$42,ROW('03.Muestra'!$C$8:$C$42)-MIN(ROW('03.Muestra'!$D$8:$D$42))+1,""),ROW()-816)),"")</f>
        <v/>
      </c>
      <c r="C822" s="114" t="str" cm="1">
        <f t="array" ref="C822">IFERROR(INDEX('03.Muestra'!$F$8:$F$42,SMALL(IF("Página Web"='03.Muestra'!$D$8:$D$42,ROW('03.Muestra'!$F$8:$F$42)-MIN(ROW('03.Muestra'!$D$8:$D$42))+1,""),ROW()-816)),"")</f>
        <v/>
      </c>
      <c r="D822" s="130" t="str">
        <f t="shared" ref="D822:D851" si="43">IF(AND(B822&lt;&gt;"",C822&lt;&gt;""),"N/T","")</f>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t="str" cm="1">
        <f t="array" ref="A823">IFERROR(INDEX('03.Muestra'!$B$8:$B$42,SMALL(IF("Página Web"='03.Muestra'!$D$8:$D$42,ROW('03.Muestra'!$B$8:$B$42)-MIN(ROW('03.Muestra'!$D$8:$D$42))+1,""),ROW()-816)),"")</f>
        <v/>
      </c>
      <c r="B823" s="114" t="str" cm="1">
        <f t="array" ref="B823">IFERROR(INDEX('03.Muestra'!$C$8:$C$42,SMALL(IF("Página Web"='03.Muestra'!$D$8:$D$42,ROW('03.Muestra'!$C$8:$C$42)-MIN(ROW('03.Muestra'!$D$8:$D$42))+1,""),ROW()-816)),"")</f>
        <v/>
      </c>
      <c r="C823" s="114" t="str" cm="1">
        <f t="array" ref="C823">IFERROR(INDEX('03.Muestra'!$F$8:$F$42,SMALL(IF("Página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t="str" cm="1">
        <f t="array" ref="A824">IFERROR(INDEX('03.Muestra'!$B$8:$B$42,SMALL(IF("Página Web"='03.Muestra'!$D$8:$D$42,ROW('03.Muestra'!$B$8:$B$42)-MIN(ROW('03.Muestra'!$D$8:$D$42))+1,""),ROW()-816)),"")</f>
        <v/>
      </c>
      <c r="B824" s="114" t="str" cm="1">
        <f t="array" ref="B824">IFERROR(INDEX('03.Muestra'!$C$8:$C$42,SMALL(IF("Página Web"='03.Muestra'!$D$8:$D$42,ROW('03.Muestra'!$C$8:$C$42)-MIN(ROW('03.Muestra'!$D$8:$D$42))+1,""),ROW()-816)),"")</f>
        <v/>
      </c>
      <c r="C824" s="114" t="str" cm="1">
        <f t="array" ref="C824">IFERROR(INDEX('03.Muestra'!$F$8:$F$42,SMALL(IF("Página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t="str" cm="1">
        <f t="array" ref="A825">IFERROR(INDEX('03.Muestra'!$B$8:$B$42,SMALL(IF("Página Web"='03.Muestra'!$D$8:$D$42,ROW('03.Muestra'!$B$8:$B$42)-MIN(ROW('03.Muestra'!$D$8:$D$42))+1,""),ROW()-816)),"")</f>
        <v/>
      </c>
      <c r="B825" s="114" t="str" cm="1">
        <f t="array" ref="B825">IFERROR(INDEX('03.Muestra'!$C$8:$C$42,SMALL(IF("Página Web"='03.Muestra'!$D$8:$D$42,ROW('03.Muestra'!$C$8:$C$42)-MIN(ROW('03.Muestra'!$D$8:$D$42))+1,""),ROW()-816)),"")</f>
        <v/>
      </c>
      <c r="C825" s="114" t="str" cm="1">
        <f t="array" ref="C825">IFERROR(INDEX('03.Muestra'!$F$8:$F$42,SMALL(IF("Página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t="str" cm="1">
        <f t="array" ref="A826">IFERROR(INDEX('03.Muestra'!$B$8:$B$42,SMALL(IF("Página Web"='03.Muestra'!$D$8:$D$42,ROW('03.Muestra'!$B$8:$B$42)-MIN(ROW('03.Muestra'!$D$8:$D$42))+1,""),ROW()-816)),"")</f>
        <v/>
      </c>
      <c r="B826" s="114" t="str" cm="1">
        <f t="array" ref="B826">IFERROR(INDEX('03.Muestra'!$C$8:$C$42,SMALL(IF("Página Web"='03.Muestra'!$D$8:$D$42,ROW('03.Muestra'!$C$8:$C$42)-MIN(ROW('03.Muestra'!$D$8:$D$42))+1,""),ROW()-816)),"")</f>
        <v/>
      </c>
      <c r="C826" s="114" t="str" cm="1">
        <f t="array" ref="C826">IFERROR(INDEX('03.Muestra'!$F$8:$F$42,SMALL(IF("Página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t="str" cm="1">
        <f t="array" ref="A827">IFERROR(INDEX('03.Muestra'!$B$8:$B$42,SMALL(IF("Página Web"='03.Muestra'!$D$8:$D$42,ROW('03.Muestra'!$B$8:$B$42)-MIN(ROW('03.Muestra'!$D$8:$D$42))+1,""),ROW()-816)),"")</f>
        <v/>
      </c>
      <c r="B827" s="114" t="str" cm="1">
        <f t="array" ref="B827">IFERROR(INDEX('03.Muestra'!$C$8:$C$42,SMALL(IF("Página Web"='03.Muestra'!$D$8:$D$42,ROW('03.Muestra'!$C$8:$C$42)-MIN(ROW('03.Muestra'!$D$8:$D$42))+1,""),ROW()-816)),"")</f>
        <v/>
      </c>
      <c r="C827" s="114" t="str" cm="1">
        <f t="array" ref="C827">IFERROR(INDEX('03.Muestra'!$F$8:$F$42,SMALL(IF("Página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t="str" cm="1">
        <f t="array" ref="A828">IFERROR(INDEX('03.Muestra'!$B$8:$B$42,SMALL(IF("Página Web"='03.Muestra'!$D$8:$D$42,ROW('03.Muestra'!$B$8:$B$42)-MIN(ROW('03.Muestra'!$D$8:$D$42))+1,""),ROW()-816)),"")</f>
        <v/>
      </c>
      <c r="B828" s="114" t="str" cm="1">
        <f t="array" ref="B828">IFERROR(INDEX('03.Muestra'!$C$8:$C$42,SMALL(IF("Página Web"='03.Muestra'!$D$8:$D$42,ROW('03.Muestra'!$C$8:$C$42)-MIN(ROW('03.Muestra'!$D$8:$D$42))+1,""),ROW()-816)),"")</f>
        <v/>
      </c>
      <c r="C828" s="114" t="str" cm="1">
        <f t="array" ref="C828">IFERROR(INDEX('03.Muestra'!$F$8:$F$42,SMALL(IF("Página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t="str" cm="1">
        <f t="array" ref="A829">IFERROR(INDEX('03.Muestra'!$B$8:$B$42,SMALL(IF("Página Web"='03.Muestra'!$D$8:$D$42,ROW('03.Muestra'!$B$8:$B$42)-MIN(ROW('03.Muestra'!$D$8:$D$42))+1,""),ROW()-816)),"")</f>
        <v/>
      </c>
      <c r="B829" s="114" t="str" cm="1">
        <f t="array" ref="B829">IFERROR(INDEX('03.Muestra'!$C$8:$C$42,SMALL(IF("Página Web"='03.Muestra'!$D$8:$D$42,ROW('03.Muestra'!$C$8:$C$42)-MIN(ROW('03.Muestra'!$D$8:$D$42))+1,""),ROW()-816)),"")</f>
        <v/>
      </c>
      <c r="C829" s="114" t="str" cm="1">
        <f t="array" ref="C829">IFERROR(INDEX('03.Muestra'!$F$8:$F$42,SMALL(IF("Página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t="str" cm="1">
        <f t="array" ref="A830">IFERROR(INDEX('03.Muestra'!$B$8:$B$42,SMALL(IF("Página Web"='03.Muestra'!$D$8:$D$42,ROW('03.Muestra'!$B$8:$B$42)-MIN(ROW('03.Muestra'!$D$8:$D$42))+1,""),ROW()-816)),"")</f>
        <v/>
      </c>
      <c r="B830" s="114" t="str" cm="1">
        <f t="array" ref="B830">IFERROR(INDEX('03.Muestra'!$C$8:$C$42,SMALL(IF("Página Web"='03.Muestra'!$D$8:$D$42,ROW('03.Muestra'!$C$8:$C$42)-MIN(ROW('03.Muestra'!$D$8:$D$42))+1,""),ROW()-816)),"")</f>
        <v/>
      </c>
      <c r="C830" s="114" t="str" cm="1">
        <f t="array" ref="C830">IFERROR(INDEX('03.Muestra'!$F$8:$F$42,SMALL(IF("Página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t="str" cm="1">
        <f t="array" ref="A831">IFERROR(INDEX('03.Muestra'!$B$8:$B$42,SMALL(IF("Página Web"='03.Muestra'!$D$8:$D$42,ROW('03.Muestra'!$B$8:$B$42)-MIN(ROW('03.Muestra'!$D$8:$D$42))+1,""),ROW()-816)),"")</f>
        <v/>
      </c>
      <c r="B831" s="114" t="str" cm="1">
        <f t="array" ref="B831">IFERROR(INDEX('03.Muestra'!$C$8:$C$42,SMALL(IF("Página Web"='03.Muestra'!$D$8:$D$42,ROW('03.Muestra'!$C$8:$C$42)-MIN(ROW('03.Muestra'!$D$8:$D$42))+1,""),ROW()-816)),"")</f>
        <v/>
      </c>
      <c r="C831" s="114" t="str" cm="1">
        <f t="array" ref="C831">IFERROR(INDEX('03.Muestra'!$F$8:$F$42,SMALL(IF("Página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t="str" cm="1">
        <f t="array" ref="A832">IFERROR(INDEX('03.Muestra'!$B$8:$B$42,SMALL(IF("Página Web"='03.Muestra'!$D$8:$D$42,ROW('03.Muestra'!$B$8:$B$42)-MIN(ROW('03.Muestra'!$D$8:$D$42))+1,""),ROW()-816)),"")</f>
        <v/>
      </c>
      <c r="B832" s="114" t="str" cm="1">
        <f t="array" ref="B832">IFERROR(INDEX('03.Muestra'!$C$8:$C$42,SMALL(IF("Página Web"='03.Muestra'!$D$8:$D$42,ROW('03.Muestra'!$C$8:$C$42)-MIN(ROW('03.Muestra'!$D$8:$D$42))+1,""),ROW()-816)),"")</f>
        <v/>
      </c>
      <c r="C832" s="114" t="str" cm="1">
        <f t="array" ref="C832">IFERROR(INDEX('03.Muestra'!$F$8:$F$42,SMALL(IF("Página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http://www.madrid.org/presupuestos</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Menu 1</v>
      </c>
      <c r="C856" s="114" t="str" cm="1">
        <f t="array" ref="C856">IFERROR(INDEX('03.Muestra'!$F$8:$F$42,SMALL(IF("Página Web"='03.Muestra'!$D$8:$D$42,ROW('03.Muestra'!$F$8:$F$42)-MIN(ROW('03.Muestra'!$D$8:$D$42))+1,""),ROW()-854)),"")</f>
        <v>http://www.madrid.org/presupuestos/index.php/presupuestos-generales/presupuestos-cm/2022</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5</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Menu 2</v>
      </c>
      <c r="C857" s="114" t="str" cm="1">
        <f t="array" ref="C857">IFERROR(INDEX('03.Muestra'!$F$8:$F$42,SMALL(IF("Página Web"='03.Muestra'!$D$8:$D$42,ROW('03.Muestra'!$F$8:$F$42)-MIN(ROW('03.Muestra'!$D$8:$D$42))+1,""),ROW()-854)),"")</f>
        <v>http://www.madrid.org/presupuestos/index.php/ejecucion-presupuestaria</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Menu 3</v>
      </c>
      <c r="C858" s="114" t="str" cm="1">
        <f t="array" ref="C858">IFERROR(INDEX('03.Muestra'!$F$8:$F$42,SMALL(IF("Página Web"='03.Muestra'!$D$8:$D$42,ROW('03.Muestra'!$F$8:$F$42)-MIN(ROW('03.Muestra'!$D$8:$D$42))+1,""),ROW()-854)),"")</f>
        <v>http://www.madrid.org/presupuestos/index.php/transparencia</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Accesibilidad</v>
      </c>
      <c r="C859" s="114" t="str" cm="1">
        <f t="array" ref="C859">IFERROR(INDEX('03.Muestra'!$F$8:$F$42,SMALL(IF("Página Web"='03.Muestra'!$D$8:$D$42,ROW('03.Muestra'!$F$8:$F$42)-MIN(ROW('03.Muestra'!$D$8:$D$42))+1,""),ROW()-854)),"")</f>
        <v>http://www.madrid.org/presupuestos/index.php/accesibilidad-web</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t="str" cm="1">
        <f t="array" ref="A860">IFERROR(INDEX('03.Muestra'!$B$8:$B$42,SMALL(IF("Página Web"='03.Muestra'!$D$8:$D$42,ROW('03.Muestra'!$B$8:$B$42)-MIN(ROW('03.Muestra'!$D$8:$D$42))+1,""),ROW()-854)),"")</f>
        <v/>
      </c>
      <c r="B860" s="114" t="str" cm="1">
        <f t="array" ref="B860">IFERROR(INDEX('03.Muestra'!$C$8:$C$42,SMALL(IF("Página Web"='03.Muestra'!$D$8:$D$42,ROW('03.Muestra'!$C$8:$C$42)-MIN(ROW('03.Muestra'!$D$8:$D$42))+1,""),ROW()-854)),"")</f>
        <v/>
      </c>
      <c r="C860" s="114" t="str" cm="1">
        <f t="array" ref="C860">IFERROR(INDEX('03.Muestra'!$F$8:$F$42,SMALL(IF("Página Web"='03.Muestra'!$D$8:$D$42,ROW('03.Muestra'!$F$8:$F$42)-MIN(ROW('03.Muestra'!$D$8:$D$42))+1,""),ROW()-854)),"")</f>
        <v/>
      </c>
      <c r="D860" s="130" t="str">
        <f t="shared" ref="D860:D889" si="45">IF(AND(B860&lt;&gt;"",C860&lt;&gt;""),"N/T","")</f>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t="str" cm="1">
        <f t="array" ref="A861">IFERROR(INDEX('03.Muestra'!$B$8:$B$42,SMALL(IF("Página Web"='03.Muestra'!$D$8:$D$42,ROW('03.Muestra'!$B$8:$B$42)-MIN(ROW('03.Muestra'!$D$8:$D$42))+1,""),ROW()-854)),"")</f>
        <v/>
      </c>
      <c r="B861" s="114" t="str" cm="1">
        <f t="array" ref="B861">IFERROR(INDEX('03.Muestra'!$C$8:$C$42,SMALL(IF("Página Web"='03.Muestra'!$D$8:$D$42,ROW('03.Muestra'!$C$8:$C$42)-MIN(ROW('03.Muestra'!$D$8:$D$42))+1,""),ROW()-854)),"")</f>
        <v/>
      </c>
      <c r="C861" s="114" t="str" cm="1">
        <f t="array" ref="C861">IFERROR(INDEX('03.Muestra'!$F$8:$F$42,SMALL(IF("Página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t="str" cm="1">
        <f t="array" ref="A862">IFERROR(INDEX('03.Muestra'!$B$8:$B$42,SMALL(IF("Página Web"='03.Muestra'!$D$8:$D$42,ROW('03.Muestra'!$B$8:$B$42)-MIN(ROW('03.Muestra'!$D$8:$D$42))+1,""),ROW()-854)),"")</f>
        <v/>
      </c>
      <c r="B862" s="114" t="str" cm="1">
        <f t="array" ref="B862">IFERROR(INDEX('03.Muestra'!$C$8:$C$42,SMALL(IF("Página Web"='03.Muestra'!$D$8:$D$42,ROW('03.Muestra'!$C$8:$C$42)-MIN(ROW('03.Muestra'!$D$8:$D$42))+1,""),ROW()-854)),"")</f>
        <v/>
      </c>
      <c r="C862" s="114" t="str" cm="1">
        <f t="array" ref="C862">IFERROR(INDEX('03.Muestra'!$F$8:$F$42,SMALL(IF("Página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t="str" cm="1">
        <f t="array" ref="A863">IFERROR(INDEX('03.Muestra'!$B$8:$B$42,SMALL(IF("Página Web"='03.Muestra'!$D$8:$D$42,ROW('03.Muestra'!$B$8:$B$42)-MIN(ROW('03.Muestra'!$D$8:$D$42))+1,""),ROW()-854)),"")</f>
        <v/>
      </c>
      <c r="B863" s="114" t="str" cm="1">
        <f t="array" ref="B863">IFERROR(INDEX('03.Muestra'!$C$8:$C$42,SMALL(IF("Página Web"='03.Muestra'!$D$8:$D$42,ROW('03.Muestra'!$C$8:$C$42)-MIN(ROW('03.Muestra'!$D$8:$D$42))+1,""),ROW()-854)),"")</f>
        <v/>
      </c>
      <c r="C863" s="114" t="str" cm="1">
        <f t="array" ref="C863">IFERROR(INDEX('03.Muestra'!$F$8:$F$42,SMALL(IF("Página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t="str" cm="1">
        <f t="array" ref="A864">IFERROR(INDEX('03.Muestra'!$B$8:$B$42,SMALL(IF("Página Web"='03.Muestra'!$D$8:$D$42,ROW('03.Muestra'!$B$8:$B$42)-MIN(ROW('03.Muestra'!$D$8:$D$42))+1,""),ROW()-854)),"")</f>
        <v/>
      </c>
      <c r="B864" s="114" t="str" cm="1">
        <f t="array" ref="B864">IFERROR(INDEX('03.Muestra'!$C$8:$C$42,SMALL(IF("Página Web"='03.Muestra'!$D$8:$D$42,ROW('03.Muestra'!$C$8:$C$42)-MIN(ROW('03.Muestra'!$D$8:$D$42))+1,""),ROW()-854)),"")</f>
        <v/>
      </c>
      <c r="C864" s="114" t="str" cm="1">
        <f t="array" ref="C864">IFERROR(INDEX('03.Muestra'!$F$8:$F$42,SMALL(IF("Página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t="str" cm="1">
        <f t="array" ref="A865">IFERROR(INDEX('03.Muestra'!$B$8:$B$42,SMALL(IF("Página Web"='03.Muestra'!$D$8:$D$42,ROW('03.Muestra'!$B$8:$B$42)-MIN(ROW('03.Muestra'!$D$8:$D$42))+1,""),ROW()-854)),"")</f>
        <v/>
      </c>
      <c r="B865" s="114" t="str" cm="1">
        <f t="array" ref="B865">IFERROR(INDEX('03.Muestra'!$C$8:$C$42,SMALL(IF("Página Web"='03.Muestra'!$D$8:$D$42,ROW('03.Muestra'!$C$8:$C$42)-MIN(ROW('03.Muestra'!$D$8:$D$42))+1,""),ROW()-854)),"")</f>
        <v/>
      </c>
      <c r="C865" s="114" t="str" cm="1">
        <f t="array" ref="C865">IFERROR(INDEX('03.Muestra'!$F$8:$F$42,SMALL(IF("Página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t="str" cm="1">
        <f t="array" ref="A866">IFERROR(INDEX('03.Muestra'!$B$8:$B$42,SMALL(IF("Página Web"='03.Muestra'!$D$8:$D$42,ROW('03.Muestra'!$B$8:$B$42)-MIN(ROW('03.Muestra'!$D$8:$D$42))+1,""),ROW()-854)),"")</f>
        <v/>
      </c>
      <c r="B866" s="114" t="str" cm="1">
        <f t="array" ref="B866">IFERROR(INDEX('03.Muestra'!$C$8:$C$42,SMALL(IF("Página Web"='03.Muestra'!$D$8:$D$42,ROW('03.Muestra'!$C$8:$C$42)-MIN(ROW('03.Muestra'!$D$8:$D$42))+1,""),ROW()-854)),"")</f>
        <v/>
      </c>
      <c r="C866" s="114" t="str" cm="1">
        <f t="array" ref="C866">IFERROR(INDEX('03.Muestra'!$F$8:$F$42,SMALL(IF("Página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t="str" cm="1">
        <f t="array" ref="A867">IFERROR(INDEX('03.Muestra'!$B$8:$B$42,SMALL(IF("Página Web"='03.Muestra'!$D$8:$D$42,ROW('03.Muestra'!$B$8:$B$42)-MIN(ROW('03.Muestra'!$D$8:$D$42))+1,""),ROW()-854)),"")</f>
        <v/>
      </c>
      <c r="B867" s="114" t="str" cm="1">
        <f t="array" ref="B867">IFERROR(INDEX('03.Muestra'!$C$8:$C$42,SMALL(IF("Página Web"='03.Muestra'!$D$8:$D$42,ROW('03.Muestra'!$C$8:$C$42)-MIN(ROW('03.Muestra'!$D$8:$D$42))+1,""),ROW()-854)),"")</f>
        <v/>
      </c>
      <c r="C867" s="114" t="str" cm="1">
        <f t="array" ref="C867">IFERROR(INDEX('03.Muestra'!$F$8:$F$42,SMALL(IF("Página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t="str" cm="1">
        <f t="array" ref="A868">IFERROR(INDEX('03.Muestra'!$B$8:$B$42,SMALL(IF("Página Web"='03.Muestra'!$D$8:$D$42,ROW('03.Muestra'!$B$8:$B$42)-MIN(ROW('03.Muestra'!$D$8:$D$42))+1,""),ROW()-854)),"")</f>
        <v/>
      </c>
      <c r="B868" s="114" t="str" cm="1">
        <f t="array" ref="B868">IFERROR(INDEX('03.Muestra'!$C$8:$C$42,SMALL(IF("Página Web"='03.Muestra'!$D$8:$D$42,ROW('03.Muestra'!$C$8:$C$42)-MIN(ROW('03.Muestra'!$D$8:$D$42))+1,""),ROW()-854)),"")</f>
        <v/>
      </c>
      <c r="C868" s="114" t="str" cm="1">
        <f t="array" ref="C868">IFERROR(INDEX('03.Muestra'!$F$8:$F$42,SMALL(IF("Página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t="str" cm="1">
        <f t="array" ref="A869">IFERROR(INDEX('03.Muestra'!$B$8:$B$42,SMALL(IF("Página Web"='03.Muestra'!$D$8:$D$42,ROW('03.Muestra'!$B$8:$B$42)-MIN(ROW('03.Muestra'!$D$8:$D$42))+1,""),ROW()-854)),"")</f>
        <v/>
      </c>
      <c r="B869" s="114" t="str" cm="1">
        <f t="array" ref="B869">IFERROR(INDEX('03.Muestra'!$C$8:$C$42,SMALL(IF("Página Web"='03.Muestra'!$D$8:$D$42,ROW('03.Muestra'!$C$8:$C$42)-MIN(ROW('03.Muestra'!$D$8:$D$42))+1,""),ROW()-854)),"")</f>
        <v/>
      </c>
      <c r="C869" s="114" t="str" cm="1">
        <f t="array" ref="C869">IFERROR(INDEX('03.Muestra'!$F$8:$F$42,SMALL(IF("Página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t="str" cm="1">
        <f t="array" ref="A870">IFERROR(INDEX('03.Muestra'!$B$8:$B$42,SMALL(IF("Página Web"='03.Muestra'!$D$8:$D$42,ROW('03.Muestra'!$B$8:$B$42)-MIN(ROW('03.Muestra'!$D$8:$D$42))+1,""),ROW()-854)),"")</f>
        <v/>
      </c>
      <c r="B870" s="114" t="str" cm="1">
        <f t="array" ref="B870">IFERROR(INDEX('03.Muestra'!$C$8:$C$42,SMALL(IF("Página Web"='03.Muestra'!$D$8:$D$42,ROW('03.Muestra'!$C$8:$C$42)-MIN(ROW('03.Muestra'!$D$8:$D$42))+1,""),ROW()-854)),"")</f>
        <v/>
      </c>
      <c r="C870" s="114" t="str" cm="1">
        <f t="array" ref="C870">IFERROR(INDEX('03.Muestra'!$F$8:$F$42,SMALL(IF("Página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http://www.madrid.org/presupuestos</v>
      </c>
      <c r="D893" s="130" t="s">
        <v>35</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Menu 1</v>
      </c>
      <c r="C894" s="114" t="str" cm="1">
        <f t="array" ref="C894">IFERROR(INDEX('03.Muestra'!$F$8:$F$42,SMALL(IF("Página Web"='03.Muestra'!$D$8:$D$42,ROW('03.Muestra'!$F$8:$F$42)-MIN(ROW('03.Muestra'!$D$8:$D$42))+1,""),ROW()-892)),"")</f>
        <v>http://www.madrid.org/presupuestos/index.php/presupuestos-generales/presupuestos-cm/2022</v>
      </c>
      <c r="D894" s="130" t="s">
        <v>35</v>
      </c>
      <c r="E894" s="107" t="str">
        <f t="shared" si="46"/>
        <v/>
      </c>
      <c r="F894" s="120">
        <f ca="1">COUNTIF($D893:INDIRECT("$D" &amp;  SUM(ROW()-1,'03.Muestra'!$D$45)-1),F893)</f>
        <v>0</v>
      </c>
      <c r="G894" s="120">
        <f ca="1">COUNTIF($D893:INDIRECT("$D" &amp;  SUM(ROW()-1,'03.Muestra'!$D$45)-1),G893)</f>
        <v>0</v>
      </c>
      <c r="H894" s="120">
        <f ca="1">COUNTIF($D893:INDIRECT("$D" &amp;  SUM(ROW()-1,'03.Muestra'!$D$45)-1),H893)</f>
        <v>5</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Menu 2</v>
      </c>
      <c r="C895" s="114" t="str" cm="1">
        <f t="array" ref="C895">IFERROR(INDEX('03.Muestra'!$F$8:$F$42,SMALL(IF("Página Web"='03.Muestra'!$D$8:$D$42,ROW('03.Muestra'!$F$8:$F$42)-MIN(ROW('03.Muestra'!$D$8:$D$42))+1,""),ROW()-892)),"")</f>
        <v>http://www.madrid.org/presupuestos/index.php/ejecucion-presupuestaria</v>
      </c>
      <c r="D895" s="130" t="s">
        <v>35</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Menu 3</v>
      </c>
      <c r="C896" s="114" t="str" cm="1">
        <f t="array" ref="C896">IFERROR(INDEX('03.Muestra'!$F$8:$F$42,SMALL(IF("Página Web"='03.Muestra'!$D$8:$D$42,ROW('03.Muestra'!$F$8:$F$42)-MIN(ROW('03.Muestra'!$D$8:$D$42))+1,""),ROW()-892)),"")</f>
        <v>http://www.madrid.org/presupuestos/index.php/transparencia</v>
      </c>
      <c r="D896" s="130" t="s">
        <v>35</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Accesibilidad</v>
      </c>
      <c r="C897" s="114" t="str" cm="1">
        <f t="array" ref="C897">IFERROR(INDEX('03.Muestra'!$F$8:$F$42,SMALL(IF("Página Web"='03.Muestra'!$D$8:$D$42,ROW('03.Muestra'!$F$8:$F$42)-MIN(ROW('03.Muestra'!$D$8:$D$42))+1,""),ROW()-892)),"")</f>
        <v>http://www.madrid.org/presupuestos/index.php/accesibilidad-web</v>
      </c>
      <c r="D897" s="130" t="s">
        <v>35</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t="str" cm="1">
        <f t="array" ref="A898">IFERROR(INDEX('03.Muestra'!$B$8:$B$42,SMALL(IF("Página Web"='03.Muestra'!$D$8:$D$42,ROW('03.Muestra'!$B$8:$B$42)-MIN(ROW('03.Muestra'!$D$8:$D$42))+1,""),ROW()-892)),"")</f>
        <v/>
      </c>
      <c r="B898" s="114" t="str" cm="1">
        <f t="array" ref="B898">IFERROR(INDEX('03.Muestra'!$C$8:$C$42,SMALL(IF("Página Web"='03.Muestra'!$D$8:$D$42,ROW('03.Muestra'!$C$8:$C$42)-MIN(ROW('03.Muestra'!$D$8:$D$42))+1,""),ROW()-892)),"")</f>
        <v/>
      </c>
      <c r="C898" s="114" t="str" cm="1">
        <f t="array" ref="C898">IFERROR(INDEX('03.Muestra'!$F$8:$F$42,SMALL(IF("Página Web"='03.Muestra'!$D$8:$D$42,ROW('03.Muestra'!$F$8:$F$42)-MIN(ROW('03.Muestra'!$D$8:$D$42))+1,""),ROW()-892)),"")</f>
        <v/>
      </c>
      <c r="D898" s="130" t="str">
        <f t="shared" ref="D898:D927" si="47">IF(AND(B898&lt;&gt;"",C898&lt;&gt;""),"N/T","")</f>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t="str" cm="1">
        <f t="array" ref="A899">IFERROR(INDEX('03.Muestra'!$B$8:$B$42,SMALL(IF("Página Web"='03.Muestra'!$D$8:$D$42,ROW('03.Muestra'!$B$8:$B$42)-MIN(ROW('03.Muestra'!$D$8:$D$42))+1,""),ROW()-892)),"")</f>
        <v/>
      </c>
      <c r="B899" s="114" t="str" cm="1">
        <f t="array" ref="B899">IFERROR(INDEX('03.Muestra'!$C$8:$C$42,SMALL(IF("Página Web"='03.Muestra'!$D$8:$D$42,ROW('03.Muestra'!$C$8:$C$42)-MIN(ROW('03.Muestra'!$D$8:$D$42))+1,""),ROW()-892)),"")</f>
        <v/>
      </c>
      <c r="C899" s="114" t="str" cm="1">
        <f t="array" ref="C899">IFERROR(INDEX('03.Muestra'!$F$8:$F$42,SMALL(IF("Página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t="str" cm="1">
        <f t="array" ref="A900">IFERROR(INDEX('03.Muestra'!$B$8:$B$42,SMALL(IF("Página Web"='03.Muestra'!$D$8:$D$42,ROW('03.Muestra'!$B$8:$B$42)-MIN(ROW('03.Muestra'!$D$8:$D$42))+1,""),ROW()-892)),"")</f>
        <v/>
      </c>
      <c r="B900" s="114" t="str" cm="1">
        <f t="array" ref="B900">IFERROR(INDEX('03.Muestra'!$C$8:$C$42,SMALL(IF("Página Web"='03.Muestra'!$D$8:$D$42,ROW('03.Muestra'!$C$8:$C$42)-MIN(ROW('03.Muestra'!$D$8:$D$42))+1,""),ROW()-892)),"")</f>
        <v/>
      </c>
      <c r="C900" s="114" t="str" cm="1">
        <f t="array" ref="C900">IFERROR(INDEX('03.Muestra'!$F$8:$F$42,SMALL(IF("Página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t="str" cm="1">
        <f t="array" ref="A901">IFERROR(INDEX('03.Muestra'!$B$8:$B$42,SMALL(IF("Página Web"='03.Muestra'!$D$8:$D$42,ROW('03.Muestra'!$B$8:$B$42)-MIN(ROW('03.Muestra'!$D$8:$D$42))+1,""),ROW()-892)),"")</f>
        <v/>
      </c>
      <c r="B901" s="114" t="str" cm="1">
        <f t="array" ref="B901">IFERROR(INDEX('03.Muestra'!$C$8:$C$42,SMALL(IF("Página Web"='03.Muestra'!$D$8:$D$42,ROW('03.Muestra'!$C$8:$C$42)-MIN(ROW('03.Muestra'!$D$8:$D$42))+1,""),ROW()-892)),"")</f>
        <v/>
      </c>
      <c r="C901" s="114" t="str" cm="1">
        <f t="array" ref="C901">IFERROR(INDEX('03.Muestra'!$F$8:$F$42,SMALL(IF("Página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t="str" cm="1">
        <f t="array" ref="A902">IFERROR(INDEX('03.Muestra'!$B$8:$B$42,SMALL(IF("Página Web"='03.Muestra'!$D$8:$D$42,ROW('03.Muestra'!$B$8:$B$42)-MIN(ROW('03.Muestra'!$D$8:$D$42))+1,""),ROW()-892)),"")</f>
        <v/>
      </c>
      <c r="B902" s="114" t="str" cm="1">
        <f t="array" ref="B902">IFERROR(INDEX('03.Muestra'!$C$8:$C$42,SMALL(IF("Página Web"='03.Muestra'!$D$8:$D$42,ROW('03.Muestra'!$C$8:$C$42)-MIN(ROW('03.Muestra'!$D$8:$D$42))+1,""),ROW()-892)),"")</f>
        <v/>
      </c>
      <c r="C902" s="114" t="str" cm="1">
        <f t="array" ref="C902">IFERROR(INDEX('03.Muestra'!$F$8:$F$42,SMALL(IF("Página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t="str" cm="1">
        <f t="array" ref="A903">IFERROR(INDEX('03.Muestra'!$B$8:$B$42,SMALL(IF("Página Web"='03.Muestra'!$D$8:$D$42,ROW('03.Muestra'!$B$8:$B$42)-MIN(ROW('03.Muestra'!$D$8:$D$42))+1,""),ROW()-892)),"")</f>
        <v/>
      </c>
      <c r="B903" s="114" t="str" cm="1">
        <f t="array" ref="B903">IFERROR(INDEX('03.Muestra'!$C$8:$C$42,SMALL(IF("Página Web"='03.Muestra'!$D$8:$D$42,ROW('03.Muestra'!$C$8:$C$42)-MIN(ROW('03.Muestra'!$D$8:$D$42))+1,""),ROW()-892)),"")</f>
        <v/>
      </c>
      <c r="C903" s="114" t="str" cm="1">
        <f t="array" ref="C903">IFERROR(INDEX('03.Muestra'!$F$8:$F$42,SMALL(IF("Página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t="str" cm="1">
        <f t="array" ref="A904">IFERROR(INDEX('03.Muestra'!$B$8:$B$42,SMALL(IF("Página Web"='03.Muestra'!$D$8:$D$42,ROW('03.Muestra'!$B$8:$B$42)-MIN(ROW('03.Muestra'!$D$8:$D$42))+1,""),ROW()-892)),"")</f>
        <v/>
      </c>
      <c r="B904" s="114" t="str" cm="1">
        <f t="array" ref="B904">IFERROR(INDEX('03.Muestra'!$C$8:$C$42,SMALL(IF("Página Web"='03.Muestra'!$D$8:$D$42,ROW('03.Muestra'!$C$8:$C$42)-MIN(ROW('03.Muestra'!$D$8:$D$42))+1,""),ROW()-892)),"")</f>
        <v/>
      </c>
      <c r="C904" s="114" t="str" cm="1">
        <f t="array" ref="C904">IFERROR(INDEX('03.Muestra'!$F$8:$F$42,SMALL(IF("Página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t="str" cm="1">
        <f t="array" ref="A905">IFERROR(INDEX('03.Muestra'!$B$8:$B$42,SMALL(IF("Página Web"='03.Muestra'!$D$8:$D$42,ROW('03.Muestra'!$B$8:$B$42)-MIN(ROW('03.Muestra'!$D$8:$D$42))+1,""),ROW()-892)),"")</f>
        <v/>
      </c>
      <c r="B905" s="114" t="str" cm="1">
        <f t="array" ref="B905">IFERROR(INDEX('03.Muestra'!$C$8:$C$42,SMALL(IF("Página Web"='03.Muestra'!$D$8:$D$42,ROW('03.Muestra'!$C$8:$C$42)-MIN(ROW('03.Muestra'!$D$8:$D$42))+1,""),ROW()-892)),"")</f>
        <v/>
      </c>
      <c r="C905" s="114" t="str" cm="1">
        <f t="array" ref="C905">IFERROR(INDEX('03.Muestra'!$F$8:$F$42,SMALL(IF("Página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t="str" cm="1">
        <f t="array" ref="A906">IFERROR(INDEX('03.Muestra'!$B$8:$B$42,SMALL(IF("Página Web"='03.Muestra'!$D$8:$D$42,ROW('03.Muestra'!$B$8:$B$42)-MIN(ROW('03.Muestra'!$D$8:$D$42))+1,""),ROW()-892)),"")</f>
        <v/>
      </c>
      <c r="B906" s="114" t="str" cm="1">
        <f t="array" ref="B906">IFERROR(INDEX('03.Muestra'!$C$8:$C$42,SMALL(IF("Página Web"='03.Muestra'!$D$8:$D$42,ROW('03.Muestra'!$C$8:$C$42)-MIN(ROW('03.Muestra'!$D$8:$D$42))+1,""),ROW()-892)),"")</f>
        <v/>
      </c>
      <c r="C906" s="114" t="str" cm="1">
        <f t="array" ref="C906">IFERROR(INDEX('03.Muestra'!$F$8:$F$42,SMALL(IF("Página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t="str" cm="1">
        <f t="array" ref="A907">IFERROR(INDEX('03.Muestra'!$B$8:$B$42,SMALL(IF("Página Web"='03.Muestra'!$D$8:$D$42,ROW('03.Muestra'!$B$8:$B$42)-MIN(ROW('03.Muestra'!$D$8:$D$42))+1,""),ROW()-892)),"")</f>
        <v/>
      </c>
      <c r="B907" s="114" t="str" cm="1">
        <f t="array" ref="B907">IFERROR(INDEX('03.Muestra'!$C$8:$C$42,SMALL(IF("Página Web"='03.Muestra'!$D$8:$D$42,ROW('03.Muestra'!$C$8:$C$42)-MIN(ROW('03.Muestra'!$D$8:$D$42))+1,""),ROW()-892)),"")</f>
        <v/>
      </c>
      <c r="C907" s="114" t="str" cm="1">
        <f t="array" ref="C907">IFERROR(INDEX('03.Muestra'!$F$8:$F$42,SMALL(IF("Página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t="str" cm="1">
        <f t="array" ref="A908">IFERROR(INDEX('03.Muestra'!$B$8:$B$42,SMALL(IF("Página Web"='03.Muestra'!$D$8:$D$42,ROW('03.Muestra'!$B$8:$B$42)-MIN(ROW('03.Muestra'!$D$8:$D$42))+1,""),ROW()-892)),"")</f>
        <v/>
      </c>
      <c r="B908" s="114" t="str" cm="1">
        <f t="array" ref="B908">IFERROR(INDEX('03.Muestra'!$C$8:$C$42,SMALL(IF("Página Web"='03.Muestra'!$D$8:$D$42,ROW('03.Muestra'!$C$8:$C$42)-MIN(ROW('03.Muestra'!$D$8:$D$42))+1,""),ROW()-892)),"")</f>
        <v/>
      </c>
      <c r="C908" s="114" t="str" cm="1">
        <f t="array" ref="C908">IFERROR(INDEX('03.Muestra'!$F$8:$F$42,SMALL(IF("Página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http://www.madrid.org/presupuestos</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Menu 1</v>
      </c>
      <c r="C932" s="114" t="str" cm="1">
        <f t="array" ref="C932">IFERROR(INDEX('03.Muestra'!$F$8:$F$42,SMALL(IF("Página Web"='03.Muestra'!$D$8:$D$42,ROW('03.Muestra'!$F$8:$F$42)-MIN(ROW('03.Muestra'!$D$8:$D$42))+1,""),ROW()-930)),"")</f>
        <v>http://www.madrid.org/presupuestos/index.php/presupuestos-generales/presupuestos-cm/2022</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5</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Menu 2</v>
      </c>
      <c r="C933" s="114" t="str" cm="1">
        <f t="array" ref="C933">IFERROR(INDEX('03.Muestra'!$F$8:$F$42,SMALL(IF("Página Web"='03.Muestra'!$D$8:$D$42,ROW('03.Muestra'!$F$8:$F$42)-MIN(ROW('03.Muestra'!$D$8:$D$42))+1,""),ROW()-930)),"")</f>
        <v>http://www.madrid.org/presupuestos/index.php/ejecucion-presupuestaria</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Menu 3</v>
      </c>
      <c r="C934" s="114" t="str" cm="1">
        <f t="array" ref="C934">IFERROR(INDEX('03.Muestra'!$F$8:$F$42,SMALL(IF("Página Web"='03.Muestra'!$D$8:$D$42,ROW('03.Muestra'!$F$8:$F$42)-MIN(ROW('03.Muestra'!$D$8:$D$42))+1,""),ROW()-930)),"")</f>
        <v>http://www.madrid.org/presupuestos/index.php/transparencia</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Accesibilidad</v>
      </c>
      <c r="C935" s="114" t="str" cm="1">
        <f t="array" ref="C935">IFERROR(INDEX('03.Muestra'!$F$8:$F$42,SMALL(IF("Página Web"='03.Muestra'!$D$8:$D$42,ROW('03.Muestra'!$F$8:$F$42)-MIN(ROW('03.Muestra'!$D$8:$D$42))+1,""),ROW()-930)),"")</f>
        <v>http://www.madrid.org/presupuestos/index.php/accesibilidad-web</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t="str" cm="1">
        <f t="array" ref="A936">IFERROR(INDEX('03.Muestra'!$B$8:$B$42,SMALL(IF("Página Web"='03.Muestra'!$D$8:$D$42,ROW('03.Muestra'!$B$8:$B$42)-MIN(ROW('03.Muestra'!$D$8:$D$42))+1,""),ROW()-930)),"")</f>
        <v/>
      </c>
      <c r="B936" s="114" t="str" cm="1">
        <f t="array" ref="B936">IFERROR(INDEX('03.Muestra'!$C$8:$C$42,SMALL(IF("Página Web"='03.Muestra'!$D$8:$D$42,ROW('03.Muestra'!$C$8:$C$42)-MIN(ROW('03.Muestra'!$D$8:$D$42))+1,""),ROW()-930)),"")</f>
        <v/>
      </c>
      <c r="C936" s="114" t="str" cm="1">
        <f t="array" ref="C936">IFERROR(INDEX('03.Muestra'!$F$8:$F$42,SMALL(IF("Página Web"='03.Muestra'!$D$8:$D$42,ROW('03.Muestra'!$F$8:$F$42)-MIN(ROW('03.Muestra'!$D$8:$D$42))+1,""),ROW()-930)),"")</f>
        <v/>
      </c>
      <c r="D936" s="130" t="str">
        <f t="shared" ref="D936:D965" si="49">IF(AND(B936&lt;&gt;"",C936&lt;&gt;""),"N/T","")</f>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t="str" cm="1">
        <f t="array" ref="A937">IFERROR(INDEX('03.Muestra'!$B$8:$B$42,SMALL(IF("Página Web"='03.Muestra'!$D$8:$D$42,ROW('03.Muestra'!$B$8:$B$42)-MIN(ROW('03.Muestra'!$D$8:$D$42))+1,""),ROW()-930)),"")</f>
        <v/>
      </c>
      <c r="B937" s="114" t="str" cm="1">
        <f t="array" ref="B937">IFERROR(INDEX('03.Muestra'!$C$8:$C$42,SMALL(IF("Página Web"='03.Muestra'!$D$8:$D$42,ROW('03.Muestra'!$C$8:$C$42)-MIN(ROW('03.Muestra'!$D$8:$D$42))+1,""),ROW()-930)),"")</f>
        <v/>
      </c>
      <c r="C937" s="114" t="str" cm="1">
        <f t="array" ref="C937">IFERROR(INDEX('03.Muestra'!$F$8:$F$42,SMALL(IF("Página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t="str" cm="1">
        <f t="array" ref="A938">IFERROR(INDEX('03.Muestra'!$B$8:$B$42,SMALL(IF("Página Web"='03.Muestra'!$D$8:$D$42,ROW('03.Muestra'!$B$8:$B$42)-MIN(ROW('03.Muestra'!$D$8:$D$42))+1,""),ROW()-930)),"")</f>
        <v/>
      </c>
      <c r="B938" s="114" t="str" cm="1">
        <f t="array" ref="B938">IFERROR(INDEX('03.Muestra'!$C$8:$C$42,SMALL(IF("Página Web"='03.Muestra'!$D$8:$D$42,ROW('03.Muestra'!$C$8:$C$42)-MIN(ROW('03.Muestra'!$D$8:$D$42))+1,""),ROW()-930)),"")</f>
        <v/>
      </c>
      <c r="C938" s="114" t="str" cm="1">
        <f t="array" ref="C938">IFERROR(INDEX('03.Muestra'!$F$8:$F$42,SMALL(IF("Página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t="str" cm="1">
        <f t="array" ref="A939">IFERROR(INDEX('03.Muestra'!$B$8:$B$42,SMALL(IF("Página Web"='03.Muestra'!$D$8:$D$42,ROW('03.Muestra'!$B$8:$B$42)-MIN(ROW('03.Muestra'!$D$8:$D$42))+1,""),ROW()-930)),"")</f>
        <v/>
      </c>
      <c r="B939" s="114" t="str" cm="1">
        <f t="array" ref="B939">IFERROR(INDEX('03.Muestra'!$C$8:$C$42,SMALL(IF("Página Web"='03.Muestra'!$D$8:$D$42,ROW('03.Muestra'!$C$8:$C$42)-MIN(ROW('03.Muestra'!$D$8:$D$42))+1,""),ROW()-930)),"")</f>
        <v/>
      </c>
      <c r="C939" s="114" t="str" cm="1">
        <f t="array" ref="C939">IFERROR(INDEX('03.Muestra'!$F$8:$F$42,SMALL(IF("Página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t="str" cm="1">
        <f t="array" ref="A940">IFERROR(INDEX('03.Muestra'!$B$8:$B$42,SMALL(IF("Página Web"='03.Muestra'!$D$8:$D$42,ROW('03.Muestra'!$B$8:$B$42)-MIN(ROW('03.Muestra'!$D$8:$D$42))+1,""),ROW()-930)),"")</f>
        <v/>
      </c>
      <c r="B940" s="114" t="str" cm="1">
        <f t="array" ref="B940">IFERROR(INDEX('03.Muestra'!$C$8:$C$42,SMALL(IF("Página Web"='03.Muestra'!$D$8:$D$42,ROW('03.Muestra'!$C$8:$C$42)-MIN(ROW('03.Muestra'!$D$8:$D$42))+1,""),ROW()-930)),"")</f>
        <v/>
      </c>
      <c r="C940" s="114" t="str" cm="1">
        <f t="array" ref="C940">IFERROR(INDEX('03.Muestra'!$F$8:$F$42,SMALL(IF("Página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t="str" cm="1">
        <f t="array" ref="A941">IFERROR(INDEX('03.Muestra'!$B$8:$B$42,SMALL(IF("Página Web"='03.Muestra'!$D$8:$D$42,ROW('03.Muestra'!$B$8:$B$42)-MIN(ROW('03.Muestra'!$D$8:$D$42))+1,""),ROW()-930)),"")</f>
        <v/>
      </c>
      <c r="B941" s="114" t="str" cm="1">
        <f t="array" ref="B941">IFERROR(INDEX('03.Muestra'!$C$8:$C$42,SMALL(IF("Página Web"='03.Muestra'!$D$8:$D$42,ROW('03.Muestra'!$C$8:$C$42)-MIN(ROW('03.Muestra'!$D$8:$D$42))+1,""),ROW()-930)),"")</f>
        <v/>
      </c>
      <c r="C941" s="114" t="str" cm="1">
        <f t="array" ref="C941">IFERROR(INDEX('03.Muestra'!$F$8:$F$42,SMALL(IF("Página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t="str" cm="1">
        <f t="array" ref="A942">IFERROR(INDEX('03.Muestra'!$B$8:$B$42,SMALL(IF("Página Web"='03.Muestra'!$D$8:$D$42,ROW('03.Muestra'!$B$8:$B$42)-MIN(ROW('03.Muestra'!$D$8:$D$42))+1,""),ROW()-930)),"")</f>
        <v/>
      </c>
      <c r="B942" s="114" t="str" cm="1">
        <f t="array" ref="B942">IFERROR(INDEX('03.Muestra'!$C$8:$C$42,SMALL(IF("Página Web"='03.Muestra'!$D$8:$D$42,ROW('03.Muestra'!$C$8:$C$42)-MIN(ROW('03.Muestra'!$D$8:$D$42))+1,""),ROW()-930)),"")</f>
        <v/>
      </c>
      <c r="C942" s="114" t="str" cm="1">
        <f t="array" ref="C942">IFERROR(INDEX('03.Muestra'!$F$8:$F$42,SMALL(IF("Página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t="str" cm="1">
        <f t="array" ref="A943">IFERROR(INDEX('03.Muestra'!$B$8:$B$42,SMALL(IF("Página Web"='03.Muestra'!$D$8:$D$42,ROW('03.Muestra'!$B$8:$B$42)-MIN(ROW('03.Muestra'!$D$8:$D$42))+1,""),ROW()-930)),"")</f>
        <v/>
      </c>
      <c r="B943" s="114" t="str" cm="1">
        <f t="array" ref="B943">IFERROR(INDEX('03.Muestra'!$C$8:$C$42,SMALL(IF("Página Web"='03.Muestra'!$D$8:$D$42,ROW('03.Muestra'!$C$8:$C$42)-MIN(ROW('03.Muestra'!$D$8:$D$42))+1,""),ROW()-930)),"")</f>
        <v/>
      </c>
      <c r="C943" s="114" t="str" cm="1">
        <f t="array" ref="C943">IFERROR(INDEX('03.Muestra'!$F$8:$F$42,SMALL(IF("Página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t="str" cm="1">
        <f t="array" ref="A944">IFERROR(INDEX('03.Muestra'!$B$8:$B$42,SMALL(IF("Página Web"='03.Muestra'!$D$8:$D$42,ROW('03.Muestra'!$B$8:$B$42)-MIN(ROW('03.Muestra'!$D$8:$D$42))+1,""),ROW()-930)),"")</f>
        <v/>
      </c>
      <c r="B944" s="114" t="str" cm="1">
        <f t="array" ref="B944">IFERROR(INDEX('03.Muestra'!$C$8:$C$42,SMALL(IF("Página Web"='03.Muestra'!$D$8:$D$42,ROW('03.Muestra'!$C$8:$C$42)-MIN(ROW('03.Muestra'!$D$8:$D$42))+1,""),ROW()-930)),"")</f>
        <v/>
      </c>
      <c r="C944" s="114" t="str" cm="1">
        <f t="array" ref="C944">IFERROR(INDEX('03.Muestra'!$F$8:$F$42,SMALL(IF("Página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t="str" cm="1">
        <f t="array" ref="A945">IFERROR(INDEX('03.Muestra'!$B$8:$B$42,SMALL(IF("Página Web"='03.Muestra'!$D$8:$D$42,ROW('03.Muestra'!$B$8:$B$42)-MIN(ROW('03.Muestra'!$D$8:$D$42))+1,""),ROW()-930)),"")</f>
        <v/>
      </c>
      <c r="B945" s="114" t="str" cm="1">
        <f t="array" ref="B945">IFERROR(INDEX('03.Muestra'!$C$8:$C$42,SMALL(IF("Página Web"='03.Muestra'!$D$8:$D$42,ROW('03.Muestra'!$C$8:$C$42)-MIN(ROW('03.Muestra'!$D$8:$D$42))+1,""),ROW()-930)),"")</f>
        <v/>
      </c>
      <c r="C945" s="114" t="str" cm="1">
        <f t="array" ref="C945">IFERROR(INDEX('03.Muestra'!$F$8:$F$42,SMALL(IF("Página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t="str" cm="1">
        <f t="array" ref="A946">IFERROR(INDEX('03.Muestra'!$B$8:$B$42,SMALL(IF("Página Web"='03.Muestra'!$D$8:$D$42,ROW('03.Muestra'!$B$8:$B$42)-MIN(ROW('03.Muestra'!$D$8:$D$42))+1,""),ROW()-930)),"")</f>
        <v/>
      </c>
      <c r="B946" s="114" t="str" cm="1">
        <f t="array" ref="B946">IFERROR(INDEX('03.Muestra'!$C$8:$C$42,SMALL(IF("Página Web"='03.Muestra'!$D$8:$D$42,ROW('03.Muestra'!$C$8:$C$42)-MIN(ROW('03.Muestra'!$D$8:$D$42))+1,""),ROW()-930)),"")</f>
        <v/>
      </c>
      <c r="C946" s="114" t="str" cm="1">
        <f t="array" ref="C946">IFERROR(INDEX('03.Muestra'!$F$8:$F$42,SMALL(IF("Página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http://www.madrid.org/presupuestos</v>
      </c>
      <c r="D969" s="130" t="s">
        <v>35</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Menu 1</v>
      </c>
      <c r="C970" s="114" t="str" cm="1">
        <f t="array" ref="C970">IFERROR(INDEX('03.Muestra'!$F$8:$F$42,SMALL(IF("Página Web"='03.Muestra'!$D$8:$D$42,ROW('03.Muestra'!$F$8:$F$42)-MIN(ROW('03.Muestra'!$D$8:$D$42))+1,""),ROW()-968)),"")</f>
        <v>http://www.madrid.org/presupuestos/index.php/presupuestos-generales/presupuestos-cm/2022</v>
      </c>
      <c r="D970" s="130" t="s">
        <v>35</v>
      </c>
      <c r="E970" s="107" t="str">
        <f t="shared" si="50"/>
        <v/>
      </c>
      <c r="F970" s="120">
        <f ca="1">COUNTIF($D969:INDIRECT("$D" &amp;  SUM(ROW()-1,'03.Muestra'!$D$45)-1),F969)</f>
        <v>0</v>
      </c>
      <c r="G970" s="120">
        <f ca="1">COUNTIF($D969:INDIRECT("$D" &amp;  SUM(ROW()-1,'03.Muestra'!$D$45)-1),G969)</f>
        <v>0</v>
      </c>
      <c r="H970" s="120">
        <f ca="1">COUNTIF($D969:INDIRECT("$D" &amp;  SUM(ROW()-1,'03.Muestra'!$D$45)-1),H969)</f>
        <v>5</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Menu 2</v>
      </c>
      <c r="C971" s="114" t="str" cm="1">
        <f t="array" ref="C971">IFERROR(INDEX('03.Muestra'!$F$8:$F$42,SMALL(IF("Página Web"='03.Muestra'!$D$8:$D$42,ROW('03.Muestra'!$F$8:$F$42)-MIN(ROW('03.Muestra'!$D$8:$D$42))+1,""),ROW()-968)),"")</f>
        <v>http://www.madrid.org/presupuestos/index.php/ejecucion-presupuestaria</v>
      </c>
      <c r="D971" s="130" t="s">
        <v>35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Menu 3</v>
      </c>
      <c r="C972" s="114" t="str" cm="1">
        <f t="array" ref="C972">IFERROR(INDEX('03.Muestra'!$F$8:$F$42,SMALL(IF("Página Web"='03.Muestra'!$D$8:$D$42,ROW('03.Muestra'!$F$8:$F$42)-MIN(ROW('03.Muestra'!$D$8:$D$42))+1,""),ROW()-968)),"")</f>
        <v>http://www.madrid.org/presupuestos/index.php/transparencia</v>
      </c>
      <c r="D972" s="130" t="s">
        <v>35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Accesibilidad</v>
      </c>
      <c r="C973" s="114" t="str" cm="1">
        <f t="array" ref="C973">IFERROR(INDEX('03.Muestra'!$F$8:$F$42,SMALL(IF("Página Web"='03.Muestra'!$D$8:$D$42,ROW('03.Muestra'!$F$8:$F$42)-MIN(ROW('03.Muestra'!$D$8:$D$42))+1,""),ROW()-968)),"")</f>
        <v>http://www.madrid.org/presupuestos/index.php/accesibilidad-web</v>
      </c>
      <c r="D973" s="130" t="s">
        <v>35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t="str" cm="1">
        <f t="array" ref="A974">IFERROR(INDEX('03.Muestra'!$B$8:$B$42,SMALL(IF("Página Web"='03.Muestra'!$D$8:$D$42,ROW('03.Muestra'!$B$8:$B$42)-MIN(ROW('03.Muestra'!$D$8:$D$42))+1,""),ROW()-968)),"")</f>
        <v/>
      </c>
      <c r="B974" s="114" t="str" cm="1">
        <f t="array" ref="B974">IFERROR(INDEX('03.Muestra'!$C$8:$C$42,SMALL(IF("Página Web"='03.Muestra'!$D$8:$D$42,ROW('03.Muestra'!$C$8:$C$42)-MIN(ROW('03.Muestra'!$D$8:$D$42))+1,""),ROW()-968)),"")</f>
        <v/>
      </c>
      <c r="C974" s="114" t="str" cm="1">
        <f t="array" ref="C974">IFERROR(INDEX('03.Muestra'!$F$8:$F$42,SMALL(IF("Página Web"='03.Muestra'!$D$8:$D$42,ROW('03.Muestra'!$F$8:$F$42)-MIN(ROW('03.Muestra'!$D$8:$D$42))+1,""),ROW()-968)),"")</f>
        <v/>
      </c>
      <c r="D974" s="130" t="str">
        <f t="shared" ref="D974:D1003" si="51">IF(AND(B974&lt;&gt;"",C974&lt;&gt;""),"N/T","")</f>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t="str" cm="1">
        <f t="array" ref="A975">IFERROR(INDEX('03.Muestra'!$B$8:$B$42,SMALL(IF("Página Web"='03.Muestra'!$D$8:$D$42,ROW('03.Muestra'!$B$8:$B$42)-MIN(ROW('03.Muestra'!$D$8:$D$42))+1,""),ROW()-968)),"")</f>
        <v/>
      </c>
      <c r="B975" s="114" t="str" cm="1">
        <f t="array" ref="B975">IFERROR(INDEX('03.Muestra'!$C$8:$C$42,SMALL(IF("Página Web"='03.Muestra'!$D$8:$D$42,ROW('03.Muestra'!$C$8:$C$42)-MIN(ROW('03.Muestra'!$D$8:$D$42))+1,""),ROW()-968)),"")</f>
        <v/>
      </c>
      <c r="C975" s="114" t="str" cm="1">
        <f t="array" ref="C975">IFERROR(INDEX('03.Muestra'!$F$8:$F$42,SMALL(IF("Página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t="str" cm="1">
        <f t="array" ref="A976">IFERROR(INDEX('03.Muestra'!$B$8:$B$42,SMALL(IF("Página Web"='03.Muestra'!$D$8:$D$42,ROW('03.Muestra'!$B$8:$B$42)-MIN(ROW('03.Muestra'!$D$8:$D$42))+1,""),ROW()-968)),"")</f>
        <v/>
      </c>
      <c r="B976" s="114" t="str" cm="1">
        <f t="array" ref="B976">IFERROR(INDEX('03.Muestra'!$C$8:$C$42,SMALL(IF("Página Web"='03.Muestra'!$D$8:$D$42,ROW('03.Muestra'!$C$8:$C$42)-MIN(ROW('03.Muestra'!$D$8:$D$42))+1,""),ROW()-968)),"")</f>
        <v/>
      </c>
      <c r="C976" s="114" t="str" cm="1">
        <f t="array" ref="C976">IFERROR(INDEX('03.Muestra'!$F$8:$F$42,SMALL(IF("Página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t="str" cm="1">
        <f t="array" ref="A977">IFERROR(INDEX('03.Muestra'!$B$8:$B$42,SMALL(IF("Página Web"='03.Muestra'!$D$8:$D$42,ROW('03.Muestra'!$B$8:$B$42)-MIN(ROW('03.Muestra'!$D$8:$D$42))+1,""),ROW()-968)),"")</f>
        <v/>
      </c>
      <c r="B977" s="114" t="str" cm="1">
        <f t="array" ref="B977">IFERROR(INDEX('03.Muestra'!$C$8:$C$42,SMALL(IF("Página Web"='03.Muestra'!$D$8:$D$42,ROW('03.Muestra'!$C$8:$C$42)-MIN(ROW('03.Muestra'!$D$8:$D$42))+1,""),ROW()-968)),"")</f>
        <v/>
      </c>
      <c r="C977" s="114" t="str" cm="1">
        <f t="array" ref="C977">IFERROR(INDEX('03.Muestra'!$F$8:$F$42,SMALL(IF("Página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t="str" cm="1">
        <f t="array" ref="A978">IFERROR(INDEX('03.Muestra'!$B$8:$B$42,SMALL(IF("Página Web"='03.Muestra'!$D$8:$D$42,ROW('03.Muestra'!$B$8:$B$42)-MIN(ROW('03.Muestra'!$D$8:$D$42))+1,""),ROW()-968)),"")</f>
        <v/>
      </c>
      <c r="B978" s="114" t="str" cm="1">
        <f t="array" ref="B978">IFERROR(INDEX('03.Muestra'!$C$8:$C$42,SMALL(IF("Página Web"='03.Muestra'!$D$8:$D$42,ROW('03.Muestra'!$C$8:$C$42)-MIN(ROW('03.Muestra'!$D$8:$D$42))+1,""),ROW()-968)),"")</f>
        <v/>
      </c>
      <c r="C978" s="114" t="str" cm="1">
        <f t="array" ref="C978">IFERROR(INDEX('03.Muestra'!$F$8:$F$42,SMALL(IF("Página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t="str" cm="1">
        <f t="array" ref="A979">IFERROR(INDEX('03.Muestra'!$B$8:$B$42,SMALL(IF("Página Web"='03.Muestra'!$D$8:$D$42,ROW('03.Muestra'!$B$8:$B$42)-MIN(ROW('03.Muestra'!$D$8:$D$42))+1,""),ROW()-968)),"")</f>
        <v/>
      </c>
      <c r="B979" s="114" t="str" cm="1">
        <f t="array" ref="B979">IFERROR(INDEX('03.Muestra'!$C$8:$C$42,SMALL(IF("Página Web"='03.Muestra'!$D$8:$D$42,ROW('03.Muestra'!$C$8:$C$42)-MIN(ROW('03.Muestra'!$D$8:$D$42))+1,""),ROW()-968)),"")</f>
        <v/>
      </c>
      <c r="C979" s="114" t="str" cm="1">
        <f t="array" ref="C979">IFERROR(INDEX('03.Muestra'!$F$8:$F$42,SMALL(IF("Página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t="str" cm="1">
        <f t="array" ref="A980">IFERROR(INDEX('03.Muestra'!$B$8:$B$42,SMALL(IF("Página Web"='03.Muestra'!$D$8:$D$42,ROW('03.Muestra'!$B$8:$B$42)-MIN(ROW('03.Muestra'!$D$8:$D$42))+1,""),ROW()-968)),"")</f>
        <v/>
      </c>
      <c r="B980" s="114" t="str" cm="1">
        <f t="array" ref="B980">IFERROR(INDEX('03.Muestra'!$C$8:$C$42,SMALL(IF("Página Web"='03.Muestra'!$D$8:$D$42,ROW('03.Muestra'!$C$8:$C$42)-MIN(ROW('03.Muestra'!$D$8:$D$42))+1,""),ROW()-968)),"")</f>
        <v/>
      </c>
      <c r="C980" s="114" t="str" cm="1">
        <f t="array" ref="C980">IFERROR(INDEX('03.Muestra'!$F$8:$F$42,SMALL(IF("Página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t="str" cm="1">
        <f t="array" ref="A981">IFERROR(INDEX('03.Muestra'!$B$8:$B$42,SMALL(IF("Página Web"='03.Muestra'!$D$8:$D$42,ROW('03.Muestra'!$B$8:$B$42)-MIN(ROW('03.Muestra'!$D$8:$D$42))+1,""),ROW()-968)),"")</f>
        <v/>
      </c>
      <c r="B981" s="114" t="str" cm="1">
        <f t="array" ref="B981">IFERROR(INDEX('03.Muestra'!$C$8:$C$42,SMALL(IF("Página Web"='03.Muestra'!$D$8:$D$42,ROW('03.Muestra'!$C$8:$C$42)-MIN(ROW('03.Muestra'!$D$8:$D$42))+1,""),ROW()-968)),"")</f>
        <v/>
      </c>
      <c r="C981" s="114" t="str" cm="1">
        <f t="array" ref="C981">IFERROR(INDEX('03.Muestra'!$F$8:$F$42,SMALL(IF("Página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t="str" cm="1">
        <f t="array" ref="A982">IFERROR(INDEX('03.Muestra'!$B$8:$B$42,SMALL(IF("Página Web"='03.Muestra'!$D$8:$D$42,ROW('03.Muestra'!$B$8:$B$42)-MIN(ROW('03.Muestra'!$D$8:$D$42))+1,""),ROW()-968)),"")</f>
        <v/>
      </c>
      <c r="B982" s="114" t="str" cm="1">
        <f t="array" ref="B982">IFERROR(INDEX('03.Muestra'!$C$8:$C$42,SMALL(IF("Página Web"='03.Muestra'!$D$8:$D$42,ROW('03.Muestra'!$C$8:$C$42)-MIN(ROW('03.Muestra'!$D$8:$D$42))+1,""),ROW()-968)),"")</f>
        <v/>
      </c>
      <c r="C982" s="114" t="str" cm="1">
        <f t="array" ref="C982">IFERROR(INDEX('03.Muestra'!$F$8:$F$42,SMALL(IF("Página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t="str" cm="1">
        <f t="array" ref="A983">IFERROR(INDEX('03.Muestra'!$B$8:$B$42,SMALL(IF("Página Web"='03.Muestra'!$D$8:$D$42,ROW('03.Muestra'!$B$8:$B$42)-MIN(ROW('03.Muestra'!$D$8:$D$42))+1,""),ROW()-968)),"")</f>
        <v/>
      </c>
      <c r="B983" s="114" t="str" cm="1">
        <f t="array" ref="B983">IFERROR(INDEX('03.Muestra'!$C$8:$C$42,SMALL(IF("Página Web"='03.Muestra'!$D$8:$D$42,ROW('03.Muestra'!$C$8:$C$42)-MIN(ROW('03.Muestra'!$D$8:$D$42))+1,""),ROW()-968)),"")</f>
        <v/>
      </c>
      <c r="C983" s="114" t="str" cm="1">
        <f t="array" ref="C983">IFERROR(INDEX('03.Muestra'!$F$8:$F$42,SMALL(IF("Página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t="str" cm="1">
        <f t="array" ref="A984">IFERROR(INDEX('03.Muestra'!$B$8:$B$42,SMALL(IF("Página Web"='03.Muestra'!$D$8:$D$42,ROW('03.Muestra'!$B$8:$B$42)-MIN(ROW('03.Muestra'!$D$8:$D$42))+1,""),ROW()-968)),"")</f>
        <v/>
      </c>
      <c r="B984" s="114" t="str" cm="1">
        <f t="array" ref="B984">IFERROR(INDEX('03.Muestra'!$C$8:$C$42,SMALL(IF("Página Web"='03.Muestra'!$D$8:$D$42,ROW('03.Muestra'!$C$8:$C$42)-MIN(ROW('03.Muestra'!$D$8:$D$42))+1,""),ROW()-968)),"")</f>
        <v/>
      </c>
      <c r="C984" s="114" t="str" cm="1">
        <f t="array" ref="C984">IFERROR(INDEX('03.Muestra'!$F$8:$F$42,SMALL(IF("Página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http://www.madrid.org/presupuestos</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Menu 1</v>
      </c>
      <c r="C1008" s="114" t="str" cm="1">
        <f t="array" ref="C1008">IFERROR(INDEX('03.Muestra'!$F$8:$F$42,SMALL(IF("Página Web"='03.Muestra'!$D$8:$D$42,ROW('03.Muestra'!$F$8:$F$42)-MIN(ROW('03.Muestra'!$D$8:$D$42))+1,""),ROW()-1006)),"")</f>
        <v>http://www.madrid.org/presupuestos/index.php/presupuestos-generales/presupuestos-cm/2022</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5</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Menu 2</v>
      </c>
      <c r="C1009" s="114" t="str" cm="1">
        <f t="array" ref="C1009">IFERROR(INDEX('03.Muestra'!$F$8:$F$42,SMALL(IF("Página Web"='03.Muestra'!$D$8:$D$42,ROW('03.Muestra'!$F$8:$F$42)-MIN(ROW('03.Muestra'!$D$8:$D$42))+1,""),ROW()-1006)),"")</f>
        <v>http://www.madrid.org/presupuestos/index.php/ejecucion-presupuestaria</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Menu 3</v>
      </c>
      <c r="C1010" s="114" t="str" cm="1">
        <f t="array" ref="C1010">IFERROR(INDEX('03.Muestra'!$F$8:$F$42,SMALL(IF("Página Web"='03.Muestra'!$D$8:$D$42,ROW('03.Muestra'!$F$8:$F$42)-MIN(ROW('03.Muestra'!$D$8:$D$42))+1,""),ROW()-1006)),"")</f>
        <v>http://www.madrid.org/presupuestos/index.php/transparencia</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Accesibilidad</v>
      </c>
      <c r="C1011" s="114" t="str" cm="1">
        <f t="array" ref="C1011">IFERROR(INDEX('03.Muestra'!$F$8:$F$42,SMALL(IF("Página Web"='03.Muestra'!$D$8:$D$42,ROW('03.Muestra'!$F$8:$F$42)-MIN(ROW('03.Muestra'!$D$8:$D$42))+1,""),ROW()-1006)),"")</f>
        <v>http://www.madrid.org/presupuestos/index.php/accesibilidad-web</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t="str" cm="1">
        <f t="array" ref="A1012">IFERROR(INDEX('03.Muestra'!$B$8:$B$42,SMALL(IF("Página Web"='03.Muestra'!$D$8:$D$42,ROW('03.Muestra'!$B$8:$B$42)-MIN(ROW('03.Muestra'!$D$8:$D$42))+1,""),ROW()-1006)),"")</f>
        <v/>
      </c>
      <c r="B1012" s="114" t="str" cm="1">
        <f t="array" ref="B1012">IFERROR(INDEX('03.Muestra'!$C$8:$C$42,SMALL(IF("Página Web"='03.Muestra'!$D$8:$D$42,ROW('03.Muestra'!$C$8:$C$42)-MIN(ROW('03.Muestra'!$D$8:$D$42))+1,""),ROW()-1006)),"")</f>
        <v/>
      </c>
      <c r="C1012" s="114" t="str" cm="1">
        <f t="array" ref="C1012">IFERROR(INDEX('03.Muestra'!$F$8:$F$42,SMALL(IF("Página Web"='03.Muestra'!$D$8:$D$42,ROW('03.Muestra'!$F$8:$F$42)-MIN(ROW('03.Muestra'!$D$8:$D$42))+1,""),ROW()-1006)),"")</f>
        <v/>
      </c>
      <c r="D1012" s="130"/>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t="str" cm="1">
        <f t="array" ref="A1013">IFERROR(INDEX('03.Muestra'!$B$8:$B$42,SMALL(IF("Página Web"='03.Muestra'!$D$8:$D$42,ROW('03.Muestra'!$B$8:$B$42)-MIN(ROW('03.Muestra'!$D$8:$D$42))+1,""),ROW()-1006)),"")</f>
        <v/>
      </c>
      <c r="B1013" s="114" t="str" cm="1">
        <f t="array" ref="B1013">IFERROR(INDEX('03.Muestra'!$C$8:$C$42,SMALL(IF("Página Web"='03.Muestra'!$D$8:$D$42,ROW('03.Muestra'!$C$8:$C$42)-MIN(ROW('03.Muestra'!$D$8:$D$42))+1,""),ROW()-1006)),"")</f>
        <v/>
      </c>
      <c r="C1013" s="114" t="str" cm="1">
        <f t="array" ref="C1013">IFERROR(INDEX('03.Muestra'!$F$8:$F$42,SMALL(IF("Página Web"='03.Muestra'!$D$8:$D$42,ROW('03.Muestra'!$F$8:$F$42)-MIN(ROW('03.Muestra'!$D$8:$D$42))+1,""),ROW()-1006)),"")</f>
        <v/>
      </c>
      <c r="D1013" s="130" t="str">
        <f t="shared" ref="D1013:D1041" si="53">IF(AND(B1013&lt;&gt;"",C1013&lt;&gt;""),"N/T","")</f>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t="str" cm="1">
        <f t="array" ref="A1014">IFERROR(INDEX('03.Muestra'!$B$8:$B$42,SMALL(IF("Página Web"='03.Muestra'!$D$8:$D$42,ROW('03.Muestra'!$B$8:$B$42)-MIN(ROW('03.Muestra'!$D$8:$D$42))+1,""),ROW()-1006)),"")</f>
        <v/>
      </c>
      <c r="B1014" s="114" t="str" cm="1">
        <f t="array" ref="B1014">IFERROR(INDEX('03.Muestra'!$C$8:$C$42,SMALL(IF("Página Web"='03.Muestra'!$D$8:$D$42,ROW('03.Muestra'!$C$8:$C$42)-MIN(ROW('03.Muestra'!$D$8:$D$42))+1,""),ROW()-1006)),"")</f>
        <v/>
      </c>
      <c r="C1014" s="114" t="str" cm="1">
        <f t="array" ref="C1014">IFERROR(INDEX('03.Muestra'!$F$8:$F$42,SMALL(IF("Página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t="str" cm="1">
        <f t="array" ref="A1015">IFERROR(INDEX('03.Muestra'!$B$8:$B$42,SMALL(IF("Página Web"='03.Muestra'!$D$8:$D$42,ROW('03.Muestra'!$B$8:$B$42)-MIN(ROW('03.Muestra'!$D$8:$D$42))+1,""),ROW()-1006)),"")</f>
        <v/>
      </c>
      <c r="B1015" s="114" t="str" cm="1">
        <f t="array" ref="B1015">IFERROR(INDEX('03.Muestra'!$C$8:$C$42,SMALL(IF("Página Web"='03.Muestra'!$D$8:$D$42,ROW('03.Muestra'!$C$8:$C$42)-MIN(ROW('03.Muestra'!$D$8:$D$42))+1,""),ROW()-1006)),"")</f>
        <v/>
      </c>
      <c r="C1015" s="114" t="str" cm="1">
        <f t="array" ref="C1015">IFERROR(INDEX('03.Muestra'!$F$8:$F$42,SMALL(IF("Página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t="str" cm="1">
        <f t="array" ref="A1016">IFERROR(INDEX('03.Muestra'!$B$8:$B$42,SMALL(IF("Página Web"='03.Muestra'!$D$8:$D$42,ROW('03.Muestra'!$B$8:$B$42)-MIN(ROW('03.Muestra'!$D$8:$D$42))+1,""),ROW()-1006)),"")</f>
        <v/>
      </c>
      <c r="B1016" s="114" t="str" cm="1">
        <f t="array" ref="B1016">IFERROR(INDEX('03.Muestra'!$C$8:$C$42,SMALL(IF("Página Web"='03.Muestra'!$D$8:$D$42,ROW('03.Muestra'!$C$8:$C$42)-MIN(ROW('03.Muestra'!$D$8:$D$42))+1,""),ROW()-1006)),"")</f>
        <v/>
      </c>
      <c r="C1016" s="114" t="str" cm="1">
        <f t="array" ref="C1016">IFERROR(INDEX('03.Muestra'!$F$8:$F$42,SMALL(IF("Página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t="str" cm="1">
        <f t="array" ref="A1017">IFERROR(INDEX('03.Muestra'!$B$8:$B$42,SMALL(IF("Página Web"='03.Muestra'!$D$8:$D$42,ROW('03.Muestra'!$B$8:$B$42)-MIN(ROW('03.Muestra'!$D$8:$D$42))+1,""),ROW()-1006)),"")</f>
        <v/>
      </c>
      <c r="B1017" s="114" t="str" cm="1">
        <f t="array" ref="B1017">IFERROR(INDEX('03.Muestra'!$C$8:$C$42,SMALL(IF("Página Web"='03.Muestra'!$D$8:$D$42,ROW('03.Muestra'!$C$8:$C$42)-MIN(ROW('03.Muestra'!$D$8:$D$42))+1,""),ROW()-1006)),"")</f>
        <v/>
      </c>
      <c r="C1017" s="114" t="str" cm="1">
        <f t="array" ref="C1017">IFERROR(INDEX('03.Muestra'!$F$8:$F$42,SMALL(IF("Página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t="str" cm="1">
        <f t="array" ref="A1018">IFERROR(INDEX('03.Muestra'!$B$8:$B$42,SMALL(IF("Página Web"='03.Muestra'!$D$8:$D$42,ROW('03.Muestra'!$B$8:$B$42)-MIN(ROW('03.Muestra'!$D$8:$D$42))+1,""),ROW()-1006)),"")</f>
        <v/>
      </c>
      <c r="B1018" s="114" t="str" cm="1">
        <f t="array" ref="B1018">IFERROR(INDEX('03.Muestra'!$C$8:$C$42,SMALL(IF("Página Web"='03.Muestra'!$D$8:$D$42,ROW('03.Muestra'!$C$8:$C$42)-MIN(ROW('03.Muestra'!$D$8:$D$42))+1,""),ROW()-1006)),"")</f>
        <v/>
      </c>
      <c r="C1018" s="114" t="str" cm="1">
        <f t="array" ref="C1018">IFERROR(INDEX('03.Muestra'!$F$8:$F$42,SMALL(IF("Página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t="str" cm="1">
        <f t="array" ref="A1019">IFERROR(INDEX('03.Muestra'!$B$8:$B$42,SMALL(IF("Página Web"='03.Muestra'!$D$8:$D$42,ROW('03.Muestra'!$B$8:$B$42)-MIN(ROW('03.Muestra'!$D$8:$D$42))+1,""),ROW()-1006)),"")</f>
        <v/>
      </c>
      <c r="B1019" s="114" t="str" cm="1">
        <f t="array" ref="B1019">IFERROR(INDEX('03.Muestra'!$C$8:$C$42,SMALL(IF("Página Web"='03.Muestra'!$D$8:$D$42,ROW('03.Muestra'!$C$8:$C$42)-MIN(ROW('03.Muestra'!$D$8:$D$42))+1,""),ROW()-1006)),"")</f>
        <v/>
      </c>
      <c r="C1019" s="114" t="str" cm="1">
        <f t="array" ref="C1019">IFERROR(INDEX('03.Muestra'!$F$8:$F$42,SMALL(IF("Página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t="str" cm="1">
        <f t="array" ref="A1020">IFERROR(INDEX('03.Muestra'!$B$8:$B$42,SMALL(IF("Página Web"='03.Muestra'!$D$8:$D$42,ROW('03.Muestra'!$B$8:$B$42)-MIN(ROW('03.Muestra'!$D$8:$D$42))+1,""),ROW()-1006)),"")</f>
        <v/>
      </c>
      <c r="B1020" s="114" t="str" cm="1">
        <f t="array" ref="B1020">IFERROR(INDEX('03.Muestra'!$C$8:$C$42,SMALL(IF("Página Web"='03.Muestra'!$D$8:$D$42,ROW('03.Muestra'!$C$8:$C$42)-MIN(ROW('03.Muestra'!$D$8:$D$42))+1,""),ROW()-1006)),"")</f>
        <v/>
      </c>
      <c r="C1020" s="114" t="str" cm="1">
        <f t="array" ref="C1020">IFERROR(INDEX('03.Muestra'!$F$8:$F$42,SMALL(IF("Página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t="str" cm="1">
        <f t="array" ref="A1021">IFERROR(INDEX('03.Muestra'!$B$8:$B$42,SMALL(IF("Página Web"='03.Muestra'!$D$8:$D$42,ROW('03.Muestra'!$B$8:$B$42)-MIN(ROW('03.Muestra'!$D$8:$D$42))+1,""),ROW()-1006)),"")</f>
        <v/>
      </c>
      <c r="B1021" s="114" t="str" cm="1">
        <f t="array" ref="B1021">IFERROR(INDEX('03.Muestra'!$C$8:$C$42,SMALL(IF("Página Web"='03.Muestra'!$D$8:$D$42,ROW('03.Muestra'!$C$8:$C$42)-MIN(ROW('03.Muestra'!$D$8:$D$42))+1,""),ROW()-1006)),"")</f>
        <v/>
      </c>
      <c r="C1021" s="114" t="str" cm="1">
        <f t="array" ref="C1021">IFERROR(INDEX('03.Muestra'!$F$8:$F$42,SMALL(IF("Página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t="str" cm="1">
        <f t="array" ref="A1022">IFERROR(INDEX('03.Muestra'!$B$8:$B$42,SMALL(IF("Página Web"='03.Muestra'!$D$8:$D$42,ROW('03.Muestra'!$B$8:$B$42)-MIN(ROW('03.Muestra'!$D$8:$D$42))+1,""),ROW()-1006)),"")</f>
        <v/>
      </c>
      <c r="B1022" s="114" t="str" cm="1">
        <f t="array" ref="B1022">IFERROR(INDEX('03.Muestra'!$C$8:$C$42,SMALL(IF("Página Web"='03.Muestra'!$D$8:$D$42,ROW('03.Muestra'!$C$8:$C$42)-MIN(ROW('03.Muestra'!$D$8:$D$42))+1,""),ROW()-1006)),"")</f>
        <v/>
      </c>
      <c r="C1022" s="114" t="str" cm="1">
        <f t="array" ref="C1022">IFERROR(INDEX('03.Muestra'!$F$8:$F$42,SMALL(IF("Página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http://www.madrid.org/presupuestos</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Menu 1</v>
      </c>
      <c r="C1046" s="114" t="str" cm="1">
        <f t="array" ref="C1046">IFERROR(INDEX('03.Muestra'!$F$8:$F$42,SMALL(IF("Página Web"='03.Muestra'!$D$8:$D$42,ROW('03.Muestra'!$F$8:$F$42)-MIN(ROW('03.Muestra'!$D$8:$D$42))+1,""),ROW()-1044)),"")</f>
        <v>http://www.madrid.org/presupuestos/index.php/presupuestos-generales/presupuestos-cm/2022</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5</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Menu 2</v>
      </c>
      <c r="C1047" s="114" t="str" cm="1">
        <f t="array" ref="C1047">IFERROR(INDEX('03.Muestra'!$F$8:$F$42,SMALL(IF("Página Web"='03.Muestra'!$D$8:$D$42,ROW('03.Muestra'!$F$8:$F$42)-MIN(ROW('03.Muestra'!$D$8:$D$42))+1,""),ROW()-1044)),"")</f>
        <v>http://www.madrid.org/presupuestos/index.php/ejecucion-presupuestaria</v>
      </c>
      <c r="D1047" s="130" t="s">
        <v>26</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Menu 3</v>
      </c>
      <c r="C1048" s="114" t="str" cm="1">
        <f t="array" ref="C1048">IFERROR(INDEX('03.Muestra'!$F$8:$F$42,SMALL(IF("Página Web"='03.Muestra'!$D$8:$D$42,ROW('03.Muestra'!$F$8:$F$42)-MIN(ROW('03.Muestra'!$D$8:$D$42))+1,""),ROW()-1044)),"")</f>
        <v>http://www.madrid.org/presupuestos/index.php/transparencia</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Accesibilidad</v>
      </c>
      <c r="C1049" s="114" t="str" cm="1">
        <f t="array" ref="C1049">IFERROR(INDEX('03.Muestra'!$F$8:$F$42,SMALL(IF("Página Web"='03.Muestra'!$D$8:$D$42,ROW('03.Muestra'!$F$8:$F$42)-MIN(ROW('03.Muestra'!$D$8:$D$42))+1,""),ROW()-1044)),"")</f>
        <v>http://www.madrid.org/presupuestos/index.php/accesibilidad-web</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t="str" cm="1">
        <f t="array" ref="A1050">IFERROR(INDEX('03.Muestra'!$B$8:$B$42,SMALL(IF("Página Web"='03.Muestra'!$D$8:$D$42,ROW('03.Muestra'!$B$8:$B$42)-MIN(ROW('03.Muestra'!$D$8:$D$42))+1,""),ROW()-1044)),"")</f>
        <v/>
      </c>
      <c r="B1050" s="114" t="str" cm="1">
        <f t="array" ref="B1050">IFERROR(INDEX('03.Muestra'!$C$8:$C$42,SMALL(IF("Página Web"='03.Muestra'!$D$8:$D$42,ROW('03.Muestra'!$C$8:$C$42)-MIN(ROW('03.Muestra'!$D$8:$D$42))+1,""),ROW()-1044)),"")</f>
        <v/>
      </c>
      <c r="C1050" s="114" t="str" cm="1">
        <f t="array" ref="C1050">IFERROR(INDEX('03.Muestra'!$F$8:$F$42,SMALL(IF("Página Web"='03.Muestra'!$D$8:$D$42,ROW('03.Muestra'!$F$8:$F$42)-MIN(ROW('03.Muestra'!$D$8:$D$42))+1,""),ROW()-1044)),"")</f>
        <v/>
      </c>
      <c r="D1050" s="130" t="str">
        <f t="shared" ref="D1050:D1079" si="55">IF(AND(B1050&lt;&gt;"",C1050&lt;&gt;""),"N/T","")</f>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t="str" cm="1">
        <f t="array" ref="A1051">IFERROR(INDEX('03.Muestra'!$B$8:$B$42,SMALL(IF("Página Web"='03.Muestra'!$D$8:$D$42,ROW('03.Muestra'!$B$8:$B$42)-MIN(ROW('03.Muestra'!$D$8:$D$42))+1,""),ROW()-1044)),"")</f>
        <v/>
      </c>
      <c r="B1051" s="114" t="str" cm="1">
        <f t="array" ref="B1051">IFERROR(INDEX('03.Muestra'!$C$8:$C$42,SMALL(IF("Página Web"='03.Muestra'!$D$8:$D$42,ROW('03.Muestra'!$C$8:$C$42)-MIN(ROW('03.Muestra'!$D$8:$D$42))+1,""),ROW()-1044)),"")</f>
        <v/>
      </c>
      <c r="C1051" s="114" t="str" cm="1">
        <f t="array" ref="C1051">IFERROR(INDEX('03.Muestra'!$F$8:$F$42,SMALL(IF("Página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t="str" cm="1">
        <f t="array" ref="A1052">IFERROR(INDEX('03.Muestra'!$B$8:$B$42,SMALL(IF("Página Web"='03.Muestra'!$D$8:$D$42,ROW('03.Muestra'!$B$8:$B$42)-MIN(ROW('03.Muestra'!$D$8:$D$42))+1,""),ROW()-1044)),"")</f>
        <v/>
      </c>
      <c r="B1052" s="114" t="str" cm="1">
        <f t="array" ref="B1052">IFERROR(INDEX('03.Muestra'!$C$8:$C$42,SMALL(IF("Página Web"='03.Muestra'!$D$8:$D$42,ROW('03.Muestra'!$C$8:$C$42)-MIN(ROW('03.Muestra'!$D$8:$D$42))+1,""),ROW()-1044)),"")</f>
        <v/>
      </c>
      <c r="C1052" s="114" t="str" cm="1">
        <f t="array" ref="C1052">IFERROR(INDEX('03.Muestra'!$F$8:$F$42,SMALL(IF("Página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t="str" cm="1">
        <f t="array" ref="A1053">IFERROR(INDEX('03.Muestra'!$B$8:$B$42,SMALL(IF("Página Web"='03.Muestra'!$D$8:$D$42,ROW('03.Muestra'!$B$8:$B$42)-MIN(ROW('03.Muestra'!$D$8:$D$42))+1,""),ROW()-1044)),"")</f>
        <v/>
      </c>
      <c r="B1053" s="114" t="str" cm="1">
        <f t="array" ref="B1053">IFERROR(INDEX('03.Muestra'!$C$8:$C$42,SMALL(IF("Página Web"='03.Muestra'!$D$8:$D$42,ROW('03.Muestra'!$C$8:$C$42)-MIN(ROW('03.Muestra'!$D$8:$D$42))+1,""),ROW()-1044)),"")</f>
        <v/>
      </c>
      <c r="C1053" s="114" t="str" cm="1">
        <f t="array" ref="C1053">IFERROR(INDEX('03.Muestra'!$F$8:$F$42,SMALL(IF("Página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t="str" cm="1">
        <f t="array" ref="A1054">IFERROR(INDEX('03.Muestra'!$B$8:$B$42,SMALL(IF("Página Web"='03.Muestra'!$D$8:$D$42,ROW('03.Muestra'!$B$8:$B$42)-MIN(ROW('03.Muestra'!$D$8:$D$42))+1,""),ROW()-1044)),"")</f>
        <v/>
      </c>
      <c r="B1054" s="114" t="str" cm="1">
        <f t="array" ref="B1054">IFERROR(INDEX('03.Muestra'!$C$8:$C$42,SMALL(IF("Página Web"='03.Muestra'!$D$8:$D$42,ROW('03.Muestra'!$C$8:$C$42)-MIN(ROW('03.Muestra'!$D$8:$D$42))+1,""),ROW()-1044)),"")</f>
        <v/>
      </c>
      <c r="C1054" s="114" t="str" cm="1">
        <f t="array" ref="C1054">IFERROR(INDEX('03.Muestra'!$F$8:$F$42,SMALL(IF("Página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t="str" cm="1">
        <f t="array" ref="A1055">IFERROR(INDEX('03.Muestra'!$B$8:$B$42,SMALL(IF("Página Web"='03.Muestra'!$D$8:$D$42,ROW('03.Muestra'!$B$8:$B$42)-MIN(ROW('03.Muestra'!$D$8:$D$42))+1,""),ROW()-1044)),"")</f>
        <v/>
      </c>
      <c r="B1055" s="114" t="str" cm="1">
        <f t="array" ref="B1055">IFERROR(INDEX('03.Muestra'!$C$8:$C$42,SMALL(IF("Página Web"='03.Muestra'!$D$8:$D$42,ROW('03.Muestra'!$C$8:$C$42)-MIN(ROW('03.Muestra'!$D$8:$D$42))+1,""),ROW()-1044)),"")</f>
        <v/>
      </c>
      <c r="C1055" s="114" t="str" cm="1">
        <f t="array" ref="C1055">IFERROR(INDEX('03.Muestra'!$F$8:$F$42,SMALL(IF("Página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t="str" cm="1">
        <f t="array" ref="A1056">IFERROR(INDEX('03.Muestra'!$B$8:$B$42,SMALL(IF("Página Web"='03.Muestra'!$D$8:$D$42,ROW('03.Muestra'!$B$8:$B$42)-MIN(ROW('03.Muestra'!$D$8:$D$42))+1,""),ROW()-1044)),"")</f>
        <v/>
      </c>
      <c r="B1056" s="114" t="str" cm="1">
        <f t="array" ref="B1056">IFERROR(INDEX('03.Muestra'!$C$8:$C$42,SMALL(IF("Página Web"='03.Muestra'!$D$8:$D$42,ROW('03.Muestra'!$C$8:$C$42)-MIN(ROW('03.Muestra'!$D$8:$D$42))+1,""),ROW()-1044)),"")</f>
        <v/>
      </c>
      <c r="C1056" s="114" t="str" cm="1">
        <f t="array" ref="C1056">IFERROR(INDEX('03.Muestra'!$F$8:$F$42,SMALL(IF("Página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t="str" cm="1">
        <f t="array" ref="A1057">IFERROR(INDEX('03.Muestra'!$B$8:$B$42,SMALL(IF("Página Web"='03.Muestra'!$D$8:$D$42,ROW('03.Muestra'!$B$8:$B$42)-MIN(ROW('03.Muestra'!$D$8:$D$42))+1,""),ROW()-1044)),"")</f>
        <v/>
      </c>
      <c r="B1057" s="114" t="str" cm="1">
        <f t="array" ref="B1057">IFERROR(INDEX('03.Muestra'!$C$8:$C$42,SMALL(IF("Página Web"='03.Muestra'!$D$8:$D$42,ROW('03.Muestra'!$C$8:$C$42)-MIN(ROW('03.Muestra'!$D$8:$D$42))+1,""),ROW()-1044)),"")</f>
        <v/>
      </c>
      <c r="C1057" s="114" t="str" cm="1">
        <f t="array" ref="C1057">IFERROR(INDEX('03.Muestra'!$F$8:$F$42,SMALL(IF("Página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t="str" cm="1">
        <f t="array" ref="A1058">IFERROR(INDEX('03.Muestra'!$B$8:$B$42,SMALL(IF("Página Web"='03.Muestra'!$D$8:$D$42,ROW('03.Muestra'!$B$8:$B$42)-MIN(ROW('03.Muestra'!$D$8:$D$42))+1,""),ROW()-1044)),"")</f>
        <v/>
      </c>
      <c r="B1058" s="114" t="str" cm="1">
        <f t="array" ref="B1058">IFERROR(INDEX('03.Muestra'!$C$8:$C$42,SMALL(IF("Página Web"='03.Muestra'!$D$8:$D$42,ROW('03.Muestra'!$C$8:$C$42)-MIN(ROW('03.Muestra'!$D$8:$D$42))+1,""),ROW()-1044)),"")</f>
        <v/>
      </c>
      <c r="C1058" s="114" t="str" cm="1">
        <f t="array" ref="C1058">IFERROR(INDEX('03.Muestra'!$F$8:$F$42,SMALL(IF("Página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t="str" cm="1">
        <f t="array" ref="A1059">IFERROR(INDEX('03.Muestra'!$B$8:$B$42,SMALL(IF("Página Web"='03.Muestra'!$D$8:$D$42,ROW('03.Muestra'!$B$8:$B$42)-MIN(ROW('03.Muestra'!$D$8:$D$42))+1,""),ROW()-1044)),"")</f>
        <v/>
      </c>
      <c r="B1059" s="114" t="str" cm="1">
        <f t="array" ref="B1059">IFERROR(INDEX('03.Muestra'!$C$8:$C$42,SMALL(IF("Página Web"='03.Muestra'!$D$8:$D$42,ROW('03.Muestra'!$C$8:$C$42)-MIN(ROW('03.Muestra'!$D$8:$D$42))+1,""),ROW()-1044)),"")</f>
        <v/>
      </c>
      <c r="C1059" s="114" t="str" cm="1">
        <f t="array" ref="C1059">IFERROR(INDEX('03.Muestra'!$F$8:$F$42,SMALL(IF("Página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t="str" cm="1">
        <f t="array" ref="A1060">IFERROR(INDEX('03.Muestra'!$B$8:$B$42,SMALL(IF("Página Web"='03.Muestra'!$D$8:$D$42,ROW('03.Muestra'!$B$8:$B$42)-MIN(ROW('03.Muestra'!$D$8:$D$42))+1,""),ROW()-1044)),"")</f>
        <v/>
      </c>
      <c r="B1060" s="114" t="str" cm="1">
        <f t="array" ref="B1060">IFERROR(INDEX('03.Muestra'!$C$8:$C$42,SMALL(IF("Página Web"='03.Muestra'!$D$8:$D$42,ROW('03.Muestra'!$C$8:$C$42)-MIN(ROW('03.Muestra'!$D$8:$D$42))+1,""),ROW()-1044)),"")</f>
        <v/>
      </c>
      <c r="C1060" s="114" t="str" cm="1">
        <f t="array" ref="C1060">IFERROR(INDEX('03.Muestra'!$F$8:$F$42,SMALL(IF("Página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http://www.madrid.org/presupuestos</v>
      </c>
      <c r="D1083" s="130" t="s">
        <v>28</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Menu 1</v>
      </c>
      <c r="C1084" s="114" t="str" cm="1">
        <f t="array" ref="C1084">IFERROR(INDEX('03.Muestra'!$F$8:$F$42,SMALL(IF("Página Web"='03.Muestra'!$D$8:$D$42,ROW('03.Muestra'!$F$8:$F$42)-MIN(ROW('03.Muestra'!$D$8:$D$42))+1,""),ROW()-1082)),"")</f>
        <v>http://www.madrid.org/presupuestos/index.php/presupuestos-generales/presupuestos-cm/2022</v>
      </c>
      <c r="D1084" s="130" t="s">
        <v>28</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5</v>
      </c>
      <c r="J1084" s="120">
        <f ca="1">COUNTIF($D1083:INDIRECT("$D" &amp;  SUM(ROW()-1,'03.Muestra'!$D$45)-1),J1083)</f>
        <v>0</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Menu 2</v>
      </c>
      <c r="C1085" s="114" t="str" cm="1">
        <f t="array" ref="C1085">IFERROR(INDEX('03.Muestra'!$F$8:$F$42,SMALL(IF("Página Web"='03.Muestra'!$D$8:$D$42,ROW('03.Muestra'!$F$8:$F$42)-MIN(ROW('03.Muestra'!$D$8:$D$42))+1,""),ROW()-1082)),"")</f>
        <v>http://www.madrid.org/presupuestos/index.php/ejecucion-presupuestaria</v>
      </c>
      <c r="D1085" s="130" t="s">
        <v>28</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Menu 3</v>
      </c>
      <c r="C1086" s="114" t="str" cm="1">
        <f t="array" ref="C1086">IFERROR(INDEX('03.Muestra'!$F$8:$F$42,SMALL(IF("Página Web"='03.Muestra'!$D$8:$D$42,ROW('03.Muestra'!$F$8:$F$42)-MIN(ROW('03.Muestra'!$D$8:$D$42))+1,""),ROW()-1082)),"")</f>
        <v>http://www.madrid.org/presupuestos/index.php/transparencia</v>
      </c>
      <c r="D1086" s="130" t="s">
        <v>28</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Accesibilidad</v>
      </c>
      <c r="C1087" s="114" t="str" cm="1">
        <f t="array" ref="C1087">IFERROR(INDEX('03.Muestra'!$F$8:$F$42,SMALL(IF("Página Web"='03.Muestra'!$D$8:$D$42,ROW('03.Muestra'!$F$8:$F$42)-MIN(ROW('03.Muestra'!$D$8:$D$42))+1,""),ROW()-1082)),"")</f>
        <v>http://www.madrid.org/presupuestos/index.php/accesibilidad-web</v>
      </c>
      <c r="D1087" s="130" t="s">
        <v>28</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t="str" cm="1">
        <f t="array" ref="A1088">IFERROR(INDEX('03.Muestra'!$B$8:$B$42,SMALL(IF("Página Web"='03.Muestra'!$D$8:$D$42,ROW('03.Muestra'!$B$8:$B$42)-MIN(ROW('03.Muestra'!$D$8:$D$42))+1,""),ROW()-1082)),"")</f>
        <v/>
      </c>
      <c r="B1088" s="114" t="str" cm="1">
        <f t="array" ref="B1088">IFERROR(INDEX('03.Muestra'!$C$8:$C$42,SMALL(IF("Página Web"='03.Muestra'!$D$8:$D$42,ROW('03.Muestra'!$C$8:$C$42)-MIN(ROW('03.Muestra'!$D$8:$D$42))+1,""),ROW()-1082)),"")</f>
        <v/>
      </c>
      <c r="C1088" s="114" t="str" cm="1">
        <f t="array" ref="C1088">IFERROR(INDEX('03.Muestra'!$F$8:$F$42,SMALL(IF("Página Web"='03.Muestra'!$D$8:$D$42,ROW('03.Muestra'!$F$8:$F$42)-MIN(ROW('03.Muestra'!$D$8:$D$42))+1,""),ROW()-1082)),"")</f>
        <v/>
      </c>
      <c r="D1088" s="130" t="str">
        <f t="shared" ref="D1088:D1117" si="57">IF(AND(B1088&lt;&gt;"",C1088&lt;&gt;""),"N/T","")</f>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t="str" cm="1">
        <f t="array" ref="A1089">IFERROR(INDEX('03.Muestra'!$B$8:$B$42,SMALL(IF("Página Web"='03.Muestra'!$D$8:$D$42,ROW('03.Muestra'!$B$8:$B$42)-MIN(ROW('03.Muestra'!$D$8:$D$42))+1,""),ROW()-1082)),"")</f>
        <v/>
      </c>
      <c r="B1089" s="114" t="str" cm="1">
        <f t="array" ref="B1089">IFERROR(INDEX('03.Muestra'!$C$8:$C$42,SMALL(IF("Página Web"='03.Muestra'!$D$8:$D$42,ROW('03.Muestra'!$C$8:$C$42)-MIN(ROW('03.Muestra'!$D$8:$D$42))+1,""),ROW()-1082)),"")</f>
        <v/>
      </c>
      <c r="C1089" s="114" t="str" cm="1">
        <f t="array" ref="C1089">IFERROR(INDEX('03.Muestra'!$F$8:$F$42,SMALL(IF("Página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t="str" cm="1">
        <f t="array" ref="A1090">IFERROR(INDEX('03.Muestra'!$B$8:$B$42,SMALL(IF("Página Web"='03.Muestra'!$D$8:$D$42,ROW('03.Muestra'!$B$8:$B$42)-MIN(ROW('03.Muestra'!$D$8:$D$42))+1,""),ROW()-1082)),"")</f>
        <v/>
      </c>
      <c r="B1090" s="114" t="str" cm="1">
        <f t="array" ref="B1090">IFERROR(INDEX('03.Muestra'!$C$8:$C$42,SMALL(IF("Página Web"='03.Muestra'!$D$8:$D$42,ROW('03.Muestra'!$C$8:$C$42)-MIN(ROW('03.Muestra'!$D$8:$D$42))+1,""),ROW()-1082)),"")</f>
        <v/>
      </c>
      <c r="C1090" s="114" t="str" cm="1">
        <f t="array" ref="C1090">IFERROR(INDEX('03.Muestra'!$F$8:$F$42,SMALL(IF("Página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t="str" cm="1">
        <f t="array" ref="A1091">IFERROR(INDEX('03.Muestra'!$B$8:$B$42,SMALL(IF("Página Web"='03.Muestra'!$D$8:$D$42,ROW('03.Muestra'!$B$8:$B$42)-MIN(ROW('03.Muestra'!$D$8:$D$42))+1,""),ROW()-1082)),"")</f>
        <v/>
      </c>
      <c r="B1091" s="114" t="str" cm="1">
        <f t="array" ref="B1091">IFERROR(INDEX('03.Muestra'!$C$8:$C$42,SMALL(IF("Página Web"='03.Muestra'!$D$8:$D$42,ROW('03.Muestra'!$C$8:$C$42)-MIN(ROW('03.Muestra'!$D$8:$D$42))+1,""),ROW()-1082)),"")</f>
        <v/>
      </c>
      <c r="C1091" s="114" t="str" cm="1">
        <f t="array" ref="C1091">IFERROR(INDEX('03.Muestra'!$F$8:$F$42,SMALL(IF("Página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t="str" cm="1">
        <f t="array" ref="A1092">IFERROR(INDEX('03.Muestra'!$B$8:$B$42,SMALL(IF("Página Web"='03.Muestra'!$D$8:$D$42,ROW('03.Muestra'!$B$8:$B$42)-MIN(ROW('03.Muestra'!$D$8:$D$42))+1,""),ROW()-1082)),"")</f>
        <v/>
      </c>
      <c r="B1092" s="114" t="str" cm="1">
        <f t="array" ref="B1092">IFERROR(INDEX('03.Muestra'!$C$8:$C$42,SMALL(IF("Página Web"='03.Muestra'!$D$8:$D$42,ROW('03.Muestra'!$C$8:$C$42)-MIN(ROW('03.Muestra'!$D$8:$D$42))+1,""),ROW()-1082)),"")</f>
        <v/>
      </c>
      <c r="C1092" s="114" t="str" cm="1">
        <f t="array" ref="C1092">IFERROR(INDEX('03.Muestra'!$F$8:$F$42,SMALL(IF("Página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t="str" cm="1">
        <f t="array" ref="A1093">IFERROR(INDEX('03.Muestra'!$B$8:$B$42,SMALL(IF("Página Web"='03.Muestra'!$D$8:$D$42,ROW('03.Muestra'!$B$8:$B$42)-MIN(ROW('03.Muestra'!$D$8:$D$42))+1,""),ROW()-1082)),"")</f>
        <v/>
      </c>
      <c r="B1093" s="114" t="str" cm="1">
        <f t="array" ref="B1093">IFERROR(INDEX('03.Muestra'!$C$8:$C$42,SMALL(IF("Página Web"='03.Muestra'!$D$8:$D$42,ROW('03.Muestra'!$C$8:$C$42)-MIN(ROW('03.Muestra'!$D$8:$D$42))+1,""),ROW()-1082)),"")</f>
        <v/>
      </c>
      <c r="C1093" s="114" t="str" cm="1">
        <f t="array" ref="C1093">IFERROR(INDEX('03.Muestra'!$F$8:$F$42,SMALL(IF("Página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t="str" cm="1">
        <f t="array" ref="A1094">IFERROR(INDEX('03.Muestra'!$B$8:$B$42,SMALL(IF("Página Web"='03.Muestra'!$D$8:$D$42,ROW('03.Muestra'!$B$8:$B$42)-MIN(ROW('03.Muestra'!$D$8:$D$42))+1,""),ROW()-1082)),"")</f>
        <v/>
      </c>
      <c r="B1094" s="114" t="str" cm="1">
        <f t="array" ref="B1094">IFERROR(INDEX('03.Muestra'!$C$8:$C$42,SMALL(IF("Página Web"='03.Muestra'!$D$8:$D$42,ROW('03.Muestra'!$C$8:$C$42)-MIN(ROW('03.Muestra'!$D$8:$D$42))+1,""),ROW()-1082)),"")</f>
        <v/>
      </c>
      <c r="C1094" s="114" t="str" cm="1">
        <f t="array" ref="C1094">IFERROR(INDEX('03.Muestra'!$F$8:$F$42,SMALL(IF("Página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t="str" cm="1">
        <f t="array" ref="A1095">IFERROR(INDEX('03.Muestra'!$B$8:$B$42,SMALL(IF("Página Web"='03.Muestra'!$D$8:$D$42,ROW('03.Muestra'!$B$8:$B$42)-MIN(ROW('03.Muestra'!$D$8:$D$42))+1,""),ROW()-1082)),"")</f>
        <v/>
      </c>
      <c r="B1095" s="114" t="str" cm="1">
        <f t="array" ref="B1095">IFERROR(INDEX('03.Muestra'!$C$8:$C$42,SMALL(IF("Página Web"='03.Muestra'!$D$8:$D$42,ROW('03.Muestra'!$C$8:$C$42)-MIN(ROW('03.Muestra'!$D$8:$D$42))+1,""),ROW()-1082)),"")</f>
        <v/>
      </c>
      <c r="C1095" s="114" t="str" cm="1">
        <f t="array" ref="C1095">IFERROR(INDEX('03.Muestra'!$F$8:$F$42,SMALL(IF("Página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t="str" cm="1">
        <f t="array" ref="A1096">IFERROR(INDEX('03.Muestra'!$B$8:$B$42,SMALL(IF("Página Web"='03.Muestra'!$D$8:$D$42,ROW('03.Muestra'!$B$8:$B$42)-MIN(ROW('03.Muestra'!$D$8:$D$42))+1,""),ROW()-1082)),"")</f>
        <v/>
      </c>
      <c r="B1096" s="114" t="str" cm="1">
        <f t="array" ref="B1096">IFERROR(INDEX('03.Muestra'!$C$8:$C$42,SMALL(IF("Página Web"='03.Muestra'!$D$8:$D$42,ROW('03.Muestra'!$C$8:$C$42)-MIN(ROW('03.Muestra'!$D$8:$D$42))+1,""),ROW()-1082)),"")</f>
        <v/>
      </c>
      <c r="C1096" s="114" t="str" cm="1">
        <f t="array" ref="C1096">IFERROR(INDEX('03.Muestra'!$F$8:$F$42,SMALL(IF("Página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t="str" cm="1">
        <f t="array" ref="A1097">IFERROR(INDEX('03.Muestra'!$B$8:$B$42,SMALL(IF("Página Web"='03.Muestra'!$D$8:$D$42,ROW('03.Muestra'!$B$8:$B$42)-MIN(ROW('03.Muestra'!$D$8:$D$42))+1,""),ROW()-1082)),"")</f>
        <v/>
      </c>
      <c r="B1097" s="114" t="str" cm="1">
        <f t="array" ref="B1097">IFERROR(INDEX('03.Muestra'!$C$8:$C$42,SMALL(IF("Página Web"='03.Muestra'!$D$8:$D$42,ROW('03.Muestra'!$C$8:$C$42)-MIN(ROW('03.Muestra'!$D$8:$D$42))+1,""),ROW()-1082)),"")</f>
        <v/>
      </c>
      <c r="C1097" s="114" t="str" cm="1">
        <f t="array" ref="C1097">IFERROR(INDEX('03.Muestra'!$F$8:$F$42,SMALL(IF("Página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t="str" cm="1">
        <f t="array" ref="A1098">IFERROR(INDEX('03.Muestra'!$B$8:$B$42,SMALL(IF("Página Web"='03.Muestra'!$D$8:$D$42,ROW('03.Muestra'!$B$8:$B$42)-MIN(ROW('03.Muestra'!$D$8:$D$42))+1,""),ROW()-1082)),"")</f>
        <v/>
      </c>
      <c r="B1098" s="114" t="str" cm="1">
        <f t="array" ref="B1098">IFERROR(INDEX('03.Muestra'!$C$8:$C$42,SMALL(IF("Página Web"='03.Muestra'!$D$8:$D$42,ROW('03.Muestra'!$C$8:$C$42)-MIN(ROW('03.Muestra'!$D$8:$D$42))+1,""),ROW()-1082)),"")</f>
        <v/>
      </c>
      <c r="C1098" s="114" t="str" cm="1">
        <f t="array" ref="C1098">IFERROR(INDEX('03.Muestra'!$F$8:$F$42,SMALL(IF("Página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http://www.madrid.org/presupuestos</v>
      </c>
      <c r="D1121" s="130" t="s">
        <v>26</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Menu 1</v>
      </c>
      <c r="C1122" s="114" t="str" cm="1">
        <f t="array" ref="C1122">IFERROR(INDEX('03.Muestra'!$F$8:$F$42,SMALL(IF("Página Web"='03.Muestra'!$D$8:$D$42,ROW('03.Muestra'!$F$8:$F$42)-MIN(ROW('03.Muestra'!$D$8:$D$42))+1,""),ROW()-1120)),"")</f>
        <v>http://www.madrid.org/presupuestos/index.php/presupuestos-generales/presupuestos-cm/2022</v>
      </c>
      <c r="D1122" s="130" t="s">
        <v>26</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5</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Menu 2</v>
      </c>
      <c r="C1123" s="114" t="str" cm="1">
        <f t="array" ref="C1123">IFERROR(INDEX('03.Muestra'!$F$8:$F$42,SMALL(IF("Página Web"='03.Muestra'!$D$8:$D$42,ROW('03.Muestra'!$F$8:$F$42)-MIN(ROW('03.Muestra'!$D$8:$D$42))+1,""),ROW()-1120)),"")</f>
        <v>http://www.madrid.org/presupuestos/index.php/ejecucion-presupuestaria</v>
      </c>
      <c r="D1123" s="130" t="s">
        <v>26</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Menu 3</v>
      </c>
      <c r="C1124" s="114" t="str" cm="1">
        <f t="array" ref="C1124">IFERROR(INDEX('03.Muestra'!$F$8:$F$42,SMALL(IF("Página Web"='03.Muestra'!$D$8:$D$42,ROW('03.Muestra'!$F$8:$F$42)-MIN(ROW('03.Muestra'!$D$8:$D$42))+1,""),ROW()-1120)),"")</f>
        <v>http://www.madrid.org/presupuestos/index.php/transparencia</v>
      </c>
      <c r="D1124" s="130" t="s">
        <v>26</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Accesibilidad</v>
      </c>
      <c r="C1125" s="114" t="str" cm="1">
        <f t="array" ref="C1125">IFERROR(INDEX('03.Muestra'!$F$8:$F$42,SMALL(IF("Página Web"='03.Muestra'!$D$8:$D$42,ROW('03.Muestra'!$F$8:$F$42)-MIN(ROW('03.Muestra'!$D$8:$D$42))+1,""),ROW()-1120)),"")</f>
        <v>http://www.madrid.org/presupuestos/index.php/accesibilidad-web</v>
      </c>
      <c r="D1125" s="130" t="s">
        <v>26</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t="str" cm="1">
        <f t="array" ref="A1126">IFERROR(INDEX('03.Muestra'!$B$8:$B$42,SMALL(IF("Página Web"='03.Muestra'!$D$8:$D$42,ROW('03.Muestra'!$B$8:$B$42)-MIN(ROW('03.Muestra'!$D$8:$D$42))+1,""),ROW()-1120)),"")</f>
        <v/>
      </c>
      <c r="B1126" s="114" t="str" cm="1">
        <f t="array" ref="B1126">IFERROR(INDEX('03.Muestra'!$C$8:$C$42,SMALL(IF("Página Web"='03.Muestra'!$D$8:$D$42,ROW('03.Muestra'!$C$8:$C$42)-MIN(ROW('03.Muestra'!$D$8:$D$42))+1,""),ROW()-1120)),"")</f>
        <v/>
      </c>
      <c r="C1126" s="114" t="str" cm="1">
        <f t="array" ref="C1126">IFERROR(INDEX('03.Muestra'!$F$8:$F$42,SMALL(IF("Página Web"='03.Muestra'!$D$8:$D$42,ROW('03.Muestra'!$F$8:$F$42)-MIN(ROW('03.Muestra'!$D$8:$D$42))+1,""),ROW()-1120)),"")</f>
        <v/>
      </c>
      <c r="D1126" s="130" t="str">
        <f t="shared" ref="D1126:D1155" si="59">IF(AND(B1126&lt;&gt;"",C1126&lt;&gt;""),"N/T","")</f>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t="str" cm="1">
        <f t="array" ref="A1127">IFERROR(INDEX('03.Muestra'!$B$8:$B$42,SMALL(IF("Página Web"='03.Muestra'!$D$8:$D$42,ROW('03.Muestra'!$B$8:$B$42)-MIN(ROW('03.Muestra'!$D$8:$D$42))+1,""),ROW()-1120)),"")</f>
        <v/>
      </c>
      <c r="B1127" s="114" t="str" cm="1">
        <f t="array" ref="B1127">IFERROR(INDEX('03.Muestra'!$C$8:$C$42,SMALL(IF("Página Web"='03.Muestra'!$D$8:$D$42,ROW('03.Muestra'!$C$8:$C$42)-MIN(ROW('03.Muestra'!$D$8:$D$42))+1,""),ROW()-1120)),"")</f>
        <v/>
      </c>
      <c r="C1127" s="114" t="str" cm="1">
        <f t="array" ref="C1127">IFERROR(INDEX('03.Muestra'!$F$8:$F$42,SMALL(IF("Página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t="str" cm="1">
        <f t="array" ref="A1128">IFERROR(INDEX('03.Muestra'!$B$8:$B$42,SMALL(IF("Página Web"='03.Muestra'!$D$8:$D$42,ROW('03.Muestra'!$B$8:$B$42)-MIN(ROW('03.Muestra'!$D$8:$D$42))+1,""),ROW()-1120)),"")</f>
        <v/>
      </c>
      <c r="B1128" s="114" t="str" cm="1">
        <f t="array" ref="B1128">IFERROR(INDEX('03.Muestra'!$C$8:$C$42,SMALL(IF("Página Web"='03.Muestra'!$D$8:$D$42,ROW('03.Muestra'!$C$8:$C$42)-MIN(ROW('03.Muestra'!$D$8:$D$42))+1,""),ROW()-1120)),"")</f>
        <v/>
      </c>
      <c r="C1128" s="114" t="str" cm="1">
        <f t="array" ref="C1128">IFERROR(INDEX('03.Muestra'!$F$8:$F$42,SMALL(IF("Página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t="str" cm="1">
        <f t="array" ref="A1129">IFERROR(INDEX('03.Muestra'!$B$8:$B$42,SMALL(IF("Página Web"='03.Muestra'!$D$8:$D$42,ROW('03.Muestra'!$B$8:$B$42)-MIN(ROW('03.Muestra'!$D$8:$D$42))+1,""),ROW()-1120)),"")</f>
        <v/>
      </c>
      <c r="B1129" s="114" t="str" cm="1">
        <f t="array" ref="B1129">IFERROR(INDEX('03.Muestra'!$C$8:$C$42,SMALL(IF("Página Web"='03.Muestra'!$D$8:$D$42,ROW('03.Muestra'!$C$8:$C$42)-MIN(ROW('03.Muestra'!$D$8:$D$42))+1,""),ROW()-1120)),"")</f>
        <v/>
      </c>
      <c r="C1129" s="114" t="str" cm="1">
        <f t="array" ref="C1129">IFERROR(INDEX('03.Muestra'!$F$8:$F$42,SMALL(IF("Página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t="str" cm="1">
        <f t="array" ref="A1130">IFERROR(INDEX('03.Muestra'!$B$8:$B$42,SMALL(IF("Página Web"='03.Muestra'!$D$8:$D$42,ROW('03.Muestra'!$B$8:$B$42)-MIN(ROW('03.Muestra'!$D$8:$D$42))+1,""),ROW()-1120)),"")</f>
        <v/>
      </c>
      <c r="B1130" s="114" t="str" cm="1">
        <f t="array" ref="B1130">IFERROR(INDEX('03.Muestra'!$C$8:$C$42,SMALL(IF("Página Web"='03.Muestra'!$D$8:$D$42,ROW('03.Muestra'!$C$8:$C$42)-MIN(ROW('03.Muestra'!$D$8:$D$42))+1,""),ROW()-1120)),"")</f>
        <v/>
      </c>
      <c r="C1130" s="114" t="str" cm="1">
        <f t="array" ref="C1130">IFERROR(INDEX('03.Muestra'!$F$8:$F$42,SMALL(IF("Página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t="str" cm="1">
        <f t="array" ref="A1131">IFERROR(INDEX('03.Muestra'!$B$8:$B$42,SMALL(IF("Página Web"='03.Muestra'!$D$8:$D$42,ROW('03.Muestra'!$B$8:$B$42)-MIN(ROW('03.Muestra'!$D$8:$D$42))+1,""),ROW()-1120)),"")</f>
        <v/>
      </c>
      <c r="B1131" s="114" t="str" cm="1">
        <f t="array" ref="B1131">IFERROR(INDEX('03.Muestra'!$C$8:$C$42,SMALL(IF("Página Web"='03.Muestra'!$D$8:$D$42,ROW('03.Muestra'!$C$8:$C$42)-MIN(ROW('03.Muestra'!$D$8:$D$42))+1,""),ROW()-1120)),"")</f>
        <v/>
      </c>
      <c r="C1131" s="114" t="str" cm="1">
        <f t="array" ref="C1131">IFERROR(INDEX('03.Muestra'!$F$8:$F$42,SMALL(IF("Página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t="str" cm="1">
        <f t="array" ref="A1132">IFERROR(INDEX('03.Muestra'!$B$8:$B$42,SMALL(IF("Página Web"='03.Muestra'!$D$8:$D$42,ROW('03.Muestra'!$B$8:$B$42)-MIN(ROW('03.Muestra'!$D$8:$D$42))+1,""),ROW()-1120)),"")</f>
        <v/>
      </c>
      <c r="B1132" s="114" t="str" cm="1">
        <f t="array" ref="B1132">IFERROR(INDEX('03.Muestra'!$C$8:$C$42,SMALL(IF("Página Web"='03.Muestra'!$D$8:$D$42,ROW('03.Muestra'!$C$8:$C$42)-MIN(ROW('03.Muestra'!$D$8:$D$42))+1,""),ROW()-1120)),"")</f>
        <v/>
      </c>
      <c r="C1132" s="114" t="str" cm="1">
        <f t="array" ref="C1132">IFERROR(INDEX('03.Muestra'!$F$8:$F$42,SMALL(IF("Página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t="str" cm="1">
        <f t="array" ref="A1133">IFERROR(INDEX('03.Muestra'!$B$8:$B$42,SMALL(IF("Página Web"='03.Muestra'!$D$8:$D$42,ROW('03.Muestra'!$B$8:$B$42)-MIN(ROW('03.Muestra'!$D$8:$D$42))+1,""),ROW()-1120)),"")</f>
        <v/>
      </c>
      <c r="B1133" s="114" t="str" cm="1">
        <f t="array" ref="B1133">IFERROR(INDEX('03.Muestra'!$C$8:$C$42,SMALL(IF("Página Web"='03.Muestra'!$D$8:$D$42,ROW('03.Muestra'!$C$8:$C$42)-MIN(ROW('03.Muestra'!$D$8:$D$42))+1,""),ROW()-1120)),"")</f>
        <v/>
      </c>
      <c r="C1133" s="114" t="str" cm="1">
        <f t="array" ref="C1133">IFERROR(INDEX('03.Muestra'!$F$8:$F$42,SMALL(IF("Página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t="str" cm="1">
        <f t="array" ref="A1134">IFERROR(INDEX('03.Muestra'!$B$8:$B$42,SMALL(IF("Página Web"='03.Muestra'!$D$8:$D$42,ROW('03.Muestra'!$B$8:$B$42)-MIN(ROW('03.Muestra'!$D$8:$D$42))+1,""),ROW()-1120)),"")</f>
        <v/>
      </c>
      <c r="B1134" s="114" t="str" cm="1">
        <f t="array" ref="B1134">IFERROR(INDEX('03.Muestra'!$C$8:$C$42,SMALL(IF("Página Web"='03.Muestra'!$D$8:$D$42,ROW('03.Muestra'!$C$8:$C$42)-MIN(ROW('03.Muestra'!$D$8:$D$42))+1,""),ROW()-1120)),"")</f>
        <v/>
      </c>
      <c r="C1134" s="114" t="str" cm="1">
        <f t="array" ref="C1134">IFERROR(INDEX('03.Muestra'!$F$8:$F$42,SMALL(IF("Página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t="str" cm="1">
        <f t="array" ref="A1135">IFERROR(INDEX('03.Muestra'!$B$8:$B$42,SMALL(IF("Página Web"='03.Muestra'!$D$8:$D$42,ROW('03.Muestra'!$B$8:$B$42)-MIN(ROW('03.Muestra'!$D$8:$D$42))+1,""),ROW()-1120)),"")</f>
        <v/>
      </c>
      <c r="B1135" s="114" t="str" cm="1">
        <f t="array" ref="B1135">IFERROR(INDEX('03.Muestra'!$C$8:$C$42,SMALL(IF("Página Web"='03.Muestra'!$D$8:$D$42,ROW('03.Muestra'!$C$8:$C$42)-MIN(ROW('03.Muestra'!$D$8:$D$42))+1,""),ROW()-1120)),"")</f>
        <v/>
      </c>
      <c r="C1135" s="114" t="str" cm="1">
        <f t="array" ref="C1135">IFERROR(INDEX('03.Muestra'!$F$8:$F$42,SMALL(IF("Página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t="str" cm="1">
        <f t="array" ref="A1136">IFERROR(INDEX('03.Muestra'!$B$8:$B$42,SMALL(IF("Página Web"='03.Muestra'!$D$8:$D$42,ROW('03.Muestra'!$B$8:$B$42)-MIN(ROW('03.Muestra'!$D$8:$D$42))+1,""),ROW()-1120)),"")</f>
        <v/>
      </c>
      <c r="B1136" s="114" t="str" cm="1">
        <f t="array" ref="B1136">IFERROR(INDEX('03.Muestra'!$C$8:$C$42,SMALL(IF("Página Web"='03.Muestra'!$D$8:$D$42,ROW('03.Muestra'!$C$8:$C$42)-MIN(ROW('03.Muestra'!$D$8:$D$42))+1,""),ROW()-1120)),"")</f>
        <v/>
      </c>
      <c r="C1136" s="114" t="str" cm="1">
        <f t="array" ref="C1136">IFERROR(INDEX('03.Muestra'!$F$8:$F$42,SMALL(IF("Página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http://www.madrid.org/presupuestos</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Menu 1</v>
      </c>
      <c r="C1160" s="114" t="str" cm="1">
        <f t="array" ref="C1160">IFERROR(INDEX('03.Muestra'!$F$8:$F$42,SMALL(IF("Página Web"='03.Muestra'!$D$8:$D$42,ROW('03.Muestra'!$F$8:$F$42)-MIN(ROW('03.Muestra'!$D$8:$D$42))+1,""),ROW()-1158)),"")</f>
        <v>http://www.madrid.org/presupuestos/index.php/presupuestos-generales/presupuestos-cm/2022</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5</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Menu 2</v>
      </c>
      <c r="C1161" s="114" t="str" cm="1">
        <f t="array" ref="C1161">IFERROR(INDEX('03.Muestra'!$F$8:$F$42,SMALL(IF("Página Web"='03.Muestra'!$D$8:$D$42,ROW('03.Muestra'!$F$8:$F$42)-MIN(ROW('03.Muestra'!$D$8:$D$42))+1,""),ROW()-1158)),"")</f>
        <v>http://www.madrid.org/presupuestos/index.php/ejecucion-presupuestaria</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Menu 3</v>
      </c>
      <c r="C1162" s="114" t="str" cm="1">
        <f t="array" ref="C1162">IFERROR(INDEX('03.Muestra'!$F$8:$F$42,SMALL(IF("Página Web"='03.Muestra'!$D$8:$D$42,ROW('03.Muestra'!$F$8:$F$42)-MIN(ROW('03.Muestra'!$D$8:$D$42))+1,""),ROW()-1158)),"")</f>
        <v>http://www.madrid.org/presupuestos/index.php/transparencia</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Accesibilidad</v>
      </c>
      <c r="C1163" s="114" t="str" cm="1">
        <f t="array" ref="C1163">IFERROR(INDEX('03.Muestra'!$F$8:$F$42,SMALL(IF("Página Web"='03.Muestra'!$D$8:$D$42,ROW('03.Muestra'!$F$8:$F$42)-MIN(ROW('03.Muestra'!$D$8:$D$42))+1,""),ROW()-1158)),"")</f>
        <v>http://www.madrid.org/presupuestos/index.php/accesibilidad-web</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t="str" cm="1">
        <f t="array" ref="A1164">IFERROR(INDEX('03.Muestra'!$B$8:$B$42,SMALL(IF("Página Web"='03.Muestra'!$D$8:$D$42,ROW('03.Muestra'!$B$8:$B$42)-MIN(ROW('03.Muestra'!$D$8:$D$42))+1,""),ROW()-1158)),"")</f>
        <v/>
      </c>
      <c r="B1164" s="114" t="str" cm="1">
        <f t="array" ref="B1164">IFERROR(INDEX('03.Muestra'!$C$8:$C$42,SMALL(IF("Página Web"='03.Muestra'!$D$8:$D$42,ROW('03.Muestra'!$C$8:$C$42)-MIN(ROW('03.Muestra'!$D$8:$D$42))+1,""),ROW()-1158)),"")</f>
        <v/>
      </c>
      <c r="C1164" s="114" t="str" cm="1">
        <f t="array" ref="C1164">IFERROR(INDEX('03.Muestra'!$F$8:$F$42,SMALL(IF("Página Web"='03.Muestra'!$D$8:$D$42,ROW('03.Muestra'!$F$8:$F$42)-MIN(ROW('03.Muestra'!$D$8:$D$42))+1,""),ROW()-1158)),"")</f>
        <v/>
      </c>
      <c r="D1164" s="130" t="str">
        <f t="shared" ref="D1164:D1193" si="61">IF(AND(B1164&lt;&gt;"",C1164&lt;&gt;""),"N/T","")</f>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t="str" cm="1">
        <f t="array" ref="A1165">IFERROR(INDEX('03.Muestra'!$B$8:$B$42,SMALL(IF("Página Web"='03.Muestra'!$D$8:$D$42,ROW('03.Muestra'!$B$8:$B$42)-MIN(ROW('03.Muestra'!$D$8:$D$42))+1,""),ROW()-1158)),"")</f>
        <v/>
      </c>
      <c r="B1165" s="114" t="str" cm="1">
        <f t="array" ref="B1165">IFERROR(INDEX('03.Muestra'!$C$8:$C$42,SMALL(IF("Página Web"='03.Muestra'!$D$8:$D$42,ROW('03.Muestra'!$C$8:$C$42)-MIN(ROW('03.Muestra'!$D$8:$D$42))+1,""),ROW()-1158)),"")</f>
        <v/>
      </c>
      <c r="C1165" s="114" t="str" cm="1">
        <f t="array" ref="C1165">IFERROR(INDEX('03.Muestra'!$F$8:$F$42,SMALL(IF("Página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t="str" cm="1">
        <f t="array" ref="A1166">IFERROR(INDEX('03.Muestra'!$B$8:$B$42,SMALL(IF("Página Web"='03.Muestra'!$D$8:$D$42,ROW('03.Muestra'!$B$8:$B$42)-MIN(ROW('03.Muestra'!$D$8:$D$42))+1,""),ROW()-1158)),"")</f>
        <v/>
      </c>
      <c r="B1166" s="114" t="str" cm="1">
        <f t="array" ref="B1166">IFERROR(INDEX('03.Muestra'!$C$8:$C$42,SMALL(IF("Página Web"='03.Muestra'!$D$8:$D$42,ROW('03.Muestra'!$C$8:$C$42)-MIN(ROW('03.Muestra'!$D$8:$D$42))+1,""),ROW()-1158)),"")</f>
        <v/>
      </c>
      <c r="C1166" s="114" t="str" cm="1">
        <f t="array" ref="C1166">IFERROR(INDEX('03.Muestra'!$F$8:$F$42,SMALL(IF("Página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t="str" cm="1">
        <f t="array" ref="A1167">IFERROR(INDEX('03.Muestra'!$B$8:$B$42,SMALL(IF("Página Web"='03.Muestra'!$D$8:$D$42,ROW('03.Muestra'!$B$8:$B$42)-MIN(ROW('03.Muestra'!$D$8:$D$42))+1,""),ROW()-1158)),"")</f>
        <v/>
      </c>
      <c r="B1167" s="114" t="str" cm="1">
        <f t="array" ref="B1167">IFERROR(INDEX('03.Muestra'!$C$8:$C$42,SMALL(IF("Página Web"='03.Muestra'!$D$8:$D$42,ROW('03.Muestra'!$C$8:$C$42)-MIN(ROW('03.Muestra'!$D$8:$D$42))+1,""),ROW()-1158)),"")</f>
        <v/>
      </c>
      <c r="C1167" s="114" t="str" cm="1">
        <f t="array" ref="C1167">IFERROR(INDEX('03.Muestra'!$F$8:$F$42,SMALL(IF("Página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t="str" cm="1">
        <f t="array" ref="A1168">IFERROR(INDEX('03.Muestra'!$B$8:$B$42,SMALL(IF("Página Web"='03.Muestra'!$D$8:$D$42,ROW('03.Muestra'!$B$8:$B$42)-MIN(ROW('03.Muestra'!$D$8:$D$42))+1,""),ROW()-1158)),"")</f>
        <v/>
      </c>
      <c r="B1168" s="114" t="str" cm="1">
        <f t="array" ref="B1168">IFERROR(INDEX('03.Muestra'!$C$8:$C$42,SMALL(IF("Página Web"='03.Muestra'!$D$8:$D$42,ROW('03.Muestra'!$C$8:$C$42)-MIN(ROW('03.Muestra'!$D$8:$D$42))+1,""),ROW()-1158)),"")</f>
        <v/>
      </c>
      <c r="C1168" s="114" t="str" cm="1">
        <f t="array" ref="C1168">IFERROR(INDEX('03.Muestra'!$F$8:$F$42,SMALL(IF("Página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t="str" cm="1">
        <f t="array" ref="A1169">IFERROR(INDEX('03.Muestra'!$B$8:$B$42,SMALL(IF("Página Web"='03.Muestra'!$D$8:$D$42,ROW('03.Muestra'!$B$8:$B$42)-MIN(ROW('03.Muestra'!$D$8:$D$42))+1,""),ROW()-1158)),"")</f>
        <v/>
      </c>
      <c r="B1169" s="114" t="str" cm="1">
        <f t="array" ref="B1169">IFERROR(INDEX('03.Muestra'!$C$8:$C$42,SMALL(IF("Página Web"='03.Muestra'!$D$8:$D$42,ROW('03.Muestra'!$C$8:$C$42)-MIN(ROW('03.Muestra'!$D$8:$D$42))+1,""),ROW()-1158)),"")</f>
        <v/>
      </c>
      <c r="C1169" s="114" t="str" cm="1">
        <f t="array" ref="C1169">IFERROR(INDEX('03.Muestra'!$F$8:$F$42,SMALL(IF("Página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t="str" cm="1">
        <f t="array" ref="A1170">IFERROR(INDEX('03.Muestra'!$B$8:$B$42,SMALL(IF("Página Web"='03.Muestra'!$D$8:$D$42,ROW('03.Muestra'!$B$8:$B$42)-MIN(ROW('03.Muestra'!$D$8:$D$42))+1,""),ROW()-1158)),"")</f>
        <v/>
      </c>
      <c r="B1170" s="114" t="str" cm="1">
        <f t="array" ref="B1170">IFERROR(INDEX('03.Muestra'!$C$8:$C$42,SMALL(IF("Página Web"='03.Muestra'!$D$8:$D$42,ROW('03.Muestra'!$C$8:$C$42)-MIN(ROW('03.Muestra'!$D$8:$D$42))+1,""),ROW()-1158)),"")</f>
        <v/>
      </c>
      <c r="C1170" s="114" t="str" cm="1">
        <f t="array" ref="C1170">IFERROR(INDEX('03.Muestra'!$F$8:$F$42,SMALL(IF("Página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t="str" cm="1">
        <f t="array" ref="A1171">IFERROR(INDEX('03.Muestra'!$B$8:$B$42,SMALL(IF("Página Web"='03.Muestra'!$D$8:$D$42,ROW('03.Muestra'!$B$8:$B$42)-MIN(ROW('03.Muestra'!$D$8:$D$42))+1,""),ROW()-1158)),"")</f>
        <v/>
      </c>
      <c r="B1171" s="114" t="str" cm="1">
        <f t="array" ref="B1171">IFERROR(INDEX('03.Muestra'!$C$8:$C$42,SMALL(IF("Página Web"='03.Muestra'!$D$8:$D$42,ROW('03.Muestra'!$C$8:$C$42)-MIN(ROW('03.Muestra'!$D$8:$D$42))+1,""),ROW()-1158)),"")</f>
        <v/>
      </c>
      <c r="C1171" s="114" t="str" cm="1">
        <f t="array" ref="C1171">IFERROR(INDEX('03.Muestra'!$F$8:$F$42,SMALL(IF("Página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t="str" cm="1">
        <f t="array" ref="A1172">IFERROR(INDEX('03.Muestra'!$B$8:$B$42,SMALL(IF("Página Web"='03.Muestra'!$D$8:$D$42,ROW('03.Muestra'!$B$8:$B$42)-MIN(ROW('03.Muestra'!$D$8:$D$42))+1,""),ROW()-1158)),"")</f>
        <v/>
      </c>
      <c r="B1172" s="114" t="str" cm="1">
        <f t="array" ref="B1172">IFERROR(INDEX('03.Muestra'!$C$8:$C$42,SMALL(IF("Página Web"='03.Muestra'!$D$8:$D$42,ROW('03.Muestra'!$C$8:$C$42)-MIN(ROW('03.Muestra'!$D$8:$D$42))+1,""),ROW()-1158)),"")</f>
        <v/>
      </c>
      <c r="C1172" s="114" t="str" cm="1">
        <f t="array" ref="C1172">IFERROR(INDEX('03.Muestra'!$F$8:$F$42,SMALL(IF("Página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t="str" cm="1">
        <f t="array" ref="A1173">IFERROR(INDEX('03.Muestra'!$B$8:$B$42,SMALL(IF("Página Web"='03.Muestra'!$D$8:$D$42,ROW('03.Muestra'!$B$8:$B$42)-MIN(ROW('03.Muestra'!$D$8:$D$42))+1,""),ROW()-1158)),"")</f>
        <v/>
      </c>
      <c r="B1173" s="114" t="str" cm="1">
        <f t="array" ref="B1173">IFERROR(INDEX('03.Muestra'!$C$8:$C$42,SMALL(IF("Página Web"='03.Muestra'!$D$8:$D$42,ROW('03.Muestra'!$C$8:$C$42)-MIN(ROW('03.Muestra'!$D$8:$D$42))+1,""),ROW()-1158)),"")</f>
        <v/>
      </c>
      <c r="C1173" s="114" t="str" cm="1">
        <f t="array" ref="C1173">IFERROR(INDEX('03.Muestra'!$F$8:$F$42,SMALL(IF("Página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t="str" cm="1">
        <f t="array" ref="A1174">IFERROR(INDEX('03.Muestra'!$B$8:$B$42,SMALL(IF("Página Web"='03.Muestra'!$D$8:$D$42,ROW('03.Muestra'!$B$8:$B$42)-MIN(ROW('03.Muestra'!$D$8:$D$42))+1,""),ROW()-1158)),"")</f>
        <v/>
      </c>
      <c r="B1174" s="114" t="str" cm="1">
        <f t="array" ref="B1174">IFERROR(INDEX('03.Muestra'!$C$8:$C$42,SMALL(IF("Página Web"='03.Muestra'!$D$8:$D$42,ROW('03.Muestra'!$C$8:$C$42)-MIN(ROW('03.Muestra'!$D$8:$D$42))+1,""),ROW()-1158)),"")</f>
        <v/>
      </c>
      <c r="C1174" s="114" t="str" cm="1">
        <f t="array" ref="C1174">IFERROR(INDEX('03.Muestra'!$F$8:$F$42,SMALL(IF("Página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http://www.madrid.org/presupuestos</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Menu 1</v>
      </c>
      <c r="C1198" s="114" t="str" cm="1">
        <f t="array" ref="C1198">IFERROR(INDEX('03.Muestra'!$F$8:$F$42,SMALL(IF("Página Web"='03.Muestra'!$D$8:$D$42,ROW('03.Muestra'!$F$8:$F$42)-MIN(ROW('03.Muestra'!$D$8:$D$42))+1,""),ROW()-1196)),"")</f>
        <v>http://www.madrid.org/presupuestos/index.php/presupuestos-generales/presupuestos-cm/2022</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5</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Menu 2</v>
      </c>
      <c r="C1199" s="114" t="str" cm="1">
        <f t="array" ref="C1199">IFERROR(INDEX('03.Muestra'!$F$8:$F$42,SMALL(IF("Página Web"='03.Muestra'!$D$8:$D$42,ROW('03.Muestra'!$F$8:$F$42)-MIN(ROW('03.Muestra'!$D$8:$D$42))+1,""),ROW()-1196)),"")</f>
        <v>http://www.madrid.org/presupuestos/index.php/ejecucion-presupuestaria</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Menu 3</v>
      </c>
      <c r="C1200" s="114" t="str" cm="1">
        <f t="array" ref="C1200">IFERROR(INDEX('03.Muestra'!$F$8:$F$42,SMALL(IF("Página Web"='03.Muestra'!$D$8:$D$42,ROW('03.Muestra'!$F$8:$F$42)-MIN(ROW('03.Muestra'!$D$8:$D$42))+1,""),ROW()-1196)),"")</f>
        <v>http://www.madrid.org/presupuestos/index.php/transparencia</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Accesibilidad</v>
      </c>
      <c r="C1201" s="114" t="str" cm="1">
        <f t="array" ref="C1201">IFERROR(INDEX('03.Muestra'!$F$8:$F$42,SMALL(IF("Página Web"='03.Muestra'!$D$8:$D$42,ROW('03.Muestra'!$F$8:$F$42)-MIN(ROW('03.Muestra'!$D$8:$D$42))+1,""),ROW()-1196)),"")</f>
        <v>http://www.madrid.org/presupuestos/index.php/accesibilidad-web</v>
      </c>
      <c r="D1201" s="130" t="s">
        <v>26</v>
      </c>
      <c r="E1201" s="107" t="str">
        <f t="shared" si="62"/>
        <v/>
      </c>
      <c r="G1201" s="19"/>
      <c r="H1201" s="19"/>
      <c r="I1201" s="19"/>
      <c r="J1201" s="19"/>
      <c r="K1201" s="233"/>
      <c r="L1201" s="19"/>
    </row>
    <row r="1202" spans="1:12" ht="12" customHeight="1">
      <c r="A1202" s="219" t="str" cm="1">
        <f t="array" ref="A1202">IFERROR(INDEX('03.Muestra'!$B$8:$B$42,SMALL(IF("Página Web"='03.Muestra'!$D$8:$D$42,ROW('03.Muestra'!$B$8:$B$42)-MIN(ROW('03.Muestra'!$D$8:$D$42))+1,""),ROW()-1196)),"")</f>
        <v/>
      </c>
      <c r="B1202" s="114" t="str" cm="1">
        <f t="array" ref="B1202">IFERROR(INDEX('03.Muestra'!$C$8:$C$42,SMALL(IF("Página Web"='03.Muestra'!$D$8:$D$42,ROW('03.Muestra'!$C$8:$C$42)-MIN(ROW('03.Muestra'!$D$8:$D$42))+1,""),ROW()-1196)),"")</f>
        <v/>
      </c>
      <c r="C1202" s="114" t="str" cm="1">
        <f t="array" ref="C1202">IFERROR(INDEX('03.Muestra'!$F$8:$F$42,SMALL(IF("Página Web"='03.Muestra'!$D$8:$D$42,ROW('03.Muestra'!$F$8:$F$42)-MIN(ROW('03.Muestra'!$D$8:$D$42))+1,""),ROW()-1196)),"")</f>
        <v/>
      </c>
      <c r="D1202" s="130" t="str">
        <f t="shared" ref="D1202:D1231" si="63">IF(AND(B1202&lt;&gt;"",C1202&lt;&gt;""),"N/T","")</f>
        <v/>
      </c>
      <c r="E1202" s="107" t="str">
        <f t="shared" si="62"/>
        <v/>
      </c>
      <c r="G1202" s="19"/>
      <c r="H1202" s="19"/>
      <c r="I1202" s="19"/>
      <c r="J1202" s="19"/>
      <c r="K1202" s="233"/>
      <c r="L1202" s="19"/>
    </row>
    <row r="1203" spans="1:12" ht="12" customHeight="1">
      <c r="A1203" s="219" t="str" cm="1">
        <f t="array" ref="A1203">IFERROR(INDEX('03.Muestra'!$B$8:$B$42,SMALL(IF("Página Web"='03.Muestra'!$D$8:$D$42,ROW('03.Muestra'!$B$8:$B$42)-MIN(ROW('03.Muestra'!$D$8:$D$42))+1,""),ROW()-1196)),"")</f>
        <v/>
      </c>
      <c r="B1203" s="114" t="str" cm="1">
        <f t="array" ref="B1203">IFERROR(INDEX('03.Muestra'!$C$8:$C$42,SMALL(IF("Página Web"='03.Muestra'!$D$8:$D$42,ROW('03.Muestra'!$C$8:$C$42)-MIN(ROW('03.Muestra'!$D$8:$D$42))+1,""),ROW()-1196)),"")</f>
        <v/>
      </c>
      <c r="C1203" s="114" t="str" cm="1">
        <f t="array" ref="C1203">IFERROR(INDEX('03.Muestra'!$F$8:$F$42,SMALL(IF("Página Web"='03.Muestra'!$D$8:$D$42,ROW('03.Muestra'!$F$8:$F$42)-MIN(ROW('03.Muestra'!$D$8:$D$42))+1,""),ROW()-1196)),"")</f>
        <v/>
      </c>
      <c r="D1203" s="130" t="str">
        <f t="shared" si="63"/>
        <v/>
      </c>
      <c r="E1203" s="107" t="str">
        <f t="shared" si="62"/>
        <v/>
      </c>
      <c r="F1203" s="19"/>
      <c r="G1203" s="19"/>
      <c r="H1203" s="19"/>
      <c r="I1203" s="19"/>
      <c r="J1203" s="19"/>
      <c r="K1203" s="233"/>
      <c r="L1203" s="19"/>
    </row>
    <row r="1204" spans="1:12" ht="12" customHeight="1">
      <c r="A1204" s="219" t="str" cm="1">
        <f t="array" ref="A1204">IFERROR(INDEX('03.Muestra'!$B$8:$B$42,SMALL(IF("Página Web"='03.Muestra'!$D$8:$D$42,ROW('03.Muestra'!$B$8:$B$42)-MIN(ROW('03.Muestra'!$D$8:$D$42))+1,""),ROW()-1196)),"")</f>
        <v/>
      </c>
      <c r="B1204" s="114" t="str" cm="1">
        <f t="array" ref="B1204">IFERROR(INDEX('03.Muestra'!$C$8:$C$42,SMALL(IF("Página Web"='03.Muestra'!$D$8:$D$42,ROW('03.Muestra'!$C$8:$C$42)-MIN(ROW('03.Muestra'!$D$8:$D$42))+1,""),ROW()-1196)),"")</f>
        <v/>
      </c>
      <c r="C1204" s="114" t="str" cm="1">
        <f t="array" ref="C1204">IFERROR(INDEX('03.Muestra'!$F$8:$F$42,SMALL(IF("Página Web"='03.Muestra'!$D$8:$D$42,ROW('03.Muestra'!$F$8:$F$42)-MIN(ROW('03.Muestra'!$D$8:$D$42))+1,""),ROW()-1196)),"")</f>
        <v/>
      </c>
      <c r="D1204" s="130" t="str">
        <f t="shared" si="63"/>
        <v/>
      </c>
      <c r="E1204" s="107" t="str">
        <f t="shared" si="62"/>
        <v/>
      </c>
      <c r="F1204" s="19"/>
      <c r="G1204" s="19"/>
      <c r="H1204" s="19"/>
      <c r="I1204" s="19"/>
      <c r="J1204" s="19"/>
      <c r="K1204" s="233"/>
      <c r="L1204" s="19"/>
    </row>
    <row r="1205" spans="1:12" ht="12" customHeight="1">
      <c r="A1205" s="219" t="str" cm="1">
        <f t="array" ref="A1205">IFERROR(INDEX('03.Muestra'!$B$8:$B$42,SMALL(IF("Página Web"='03.Muestra'!$D$8:$D$42,ROW('03.Muestra'!$B$8:$B$42)-MIN(ROW('03.Muestra'!$D$8:$D$42))+1,""),ROW()-1196)),"")</f>
        <v/>
      </c>
      <c r="B1205" s="114" t="str" cm="1">
        <f t="array" ref="B1205">IFERROR(INDEX('03.Muestra'!$C$8:$C$42,SMALL(IF("Página Web"='03.Muestra'!$D$8:$D$42,ROW('03.Muestra'!$C$8:$C$42)-MIN(ROW('03.Muestra'!$D$8:$D$42))+1,""),ROW()-1196)),"")</f>
        <v/>
      </c>
      <c r="C1205" s="114" t="str" cm="1">
        <f t="array" ref="C1205">IFERROR(INDEX('03.Muestra'!$F$8:$F$42,SMALL(IF("Página Web"='03.Muestra'!$D$8:$D$42,ROW('03.Muestra'!$F$8:$F$42)-MIN(ROW('03.Muestra'!$D$8:$D$42))+1,""),ROW()-1196)),"")</f>
        <v/>
      </c>
      <c r="D1205" s="130" t="str">
        <f t="shared" si="63"/>
        <v/>
      </c>
      <c r="E1205" s="107" t="str">
        <f t="shared" si="62"/>
        <v/>
      </c>
      <c r="F1205" s="19"/>
      <c r="G1205" s="19"/>
      <c r="H1205" s="19"/>
      <c r="I1205" s="19"/>
      <c r="J1205" s="19"/>
      <c r="K1205" s="233"/>
      <c r="L1205" s="19"/>
    </row>
    <row r="1206" spans="1:12" ht="12" customHeight="1">
      <c r="A1206" s="219" t="str" cm="1">
        <f t="array" ref="A1206">IFERROR(INDEX('03.Muestra'!$B$8:$B$42,SMALL(IF("Página Web"='03.Muestra'!$D$8:$D$42,ROW('03.Muestra'!$B$8:$B$42)-MIN(ROW('03.Muestra'!$D$8:$D$42))+1,""),ROW()-1196)),"")</f>
        <v/>
      </c>
      <c r="B1206" s="114" t="str" cm="1">
        <f t="array" ref="B1206">IFERROR(INDEX('03.Muestra'!$C$8:$C$42,SMALL(IF("Página Web"='03.Muestra'!$D$8:$D$42,ROW('03.Muestra'!$C$8:$C$42)-MIN(ROW('03.Muestra'!$D$8:$D$42))+1,""),ROW()-1196)),"")</f>
        <v/>
      </c>
      <c r="C1206" s="114" t="str" cm="1">
        <f t="array" ref="C1206">IFERROR(INDEX('03.Muestra'!$F$8:$F$42,SMALL(IF("Página Web"='03.Muestra'!$D$8:$D$42,ROW('03.Muestra'!$F$8:$F$42)-MIN(ROW('03.Muestra'!$D$8:$D$42))+1,""),ROW()-1196)),"")</f>
        <v/>
      </c>
      <c r="D1206" s="130" t="str">
        <f t="shared" si="63"/>
        <v/>
      </c>
      <c r="E1206" s="107" t="str">
        <f t="shared" si="62"/>
        <v/>
      </c>
      <c r="F1206" s="19"/>
      <c r="G1206" s="19"/>
      <c r="H1206" s="19"/>
      <c r="I1206" s="19"/>
      <c r="J1206" s="19"/>
      <c r="K1206" s="233"/>
      <c r="L1206" s="19"/>
    </row>
    <row r="1207" spans="1:12" ht="12" customHeight="1">
      <c r="A1207" s="219" t="str" cm="1">
        <f t="array" ref="A1207">IFERROR(INDEX('03.Muestra'!$B$8:$B$42,SMALL(IF("Página Web"='03.Muestra'!$D$8:$D$42,ROW('03.Muestra'!$B$8:$B$42)-MIN(ROW('03.Muestra'!$D$8:$D$42))+1,""),ROW()-1196)),"")</f>
        <v/>
      </c>
      <c r="B1207" s="114" t="str" cm="1">
        <f t="array" ref="B1207">IFERROR(INDEX('03.Muestra'!$C$8:$C$42,SMALL(IF("Página Web"='03.Muestra'!$D$8:$D$42,ROW('03.Muestra'!$C$8:$C$42)-MIN(ROW('03.Muestra'!$D$8:$D$42))+1,""),ROW()-1196)),"")</f>
        <v/>
      </c>
      <c r="C1207" s="114" t="str" cm="1">
        <f t="array" ref="C1207">IFERROR(INDEX('03.Muestra'!$F$8:$F$42,SMALL(IF("Página Web"='03.Muestra'!$D$8:$D$42,ROW('03.Muestra'!$F$8:$F$42)-MIN(ROW('03.Muestra'!$D$8:$D$42))+1,""),ROW()-1196)),"")</f>
        <v/>
      </c>
      <c r="D1207" s="130" t="str">
        <f t="shared" si="63"/>
        <v/>
      </c>
      <c r="E1207" s="107" t="str">
        <f t="shared" si="62"/>
        <v/>
      </c>
      <c r="F1207" s="19"/>
      <c r="G1207" s="19"/>
      <c r="H1207" s="19"/>
      <c r="I1207" s="19"/>
      <c r="J1207" s="19"/>
      <c r="K1207" s="233"/>
      <c r="L1207" s="19"/>
    </row>
    <row r="1208" spans="1:12" ht="12" customHeight="1">
      <c r="A1208" s="219" t="str" cm="1">
        <f t="array" ref="A1208">IFERROR(INDEX('03.Muestra'!$B$8:$B$42,SMALL(IF("Página Web"='03.Muestra'!$D$8:$D$42,ROW('03.Muestra'!$B$8:$B$42)-MIN(ROW('03.Muestra'!$D$8:$D$42))+1,""),ROW()-1196)),"")</f>
        <v/>
      </c>
      <c r="B1208" s="114" t="str" cm="1">
        <f t="array" ref="B1208">IFERROR(INDEX('03.Muestra'!$C$8:$C$42,SMALL(IF("Página Web"='03.Muestra'!$D$8:$D$42,ROW('03.Muestra'!$C$8:$C$42)-MIN(ROW('03.Muestra'!$D$8:$D$42))+1,""),ROW()-1196)),"")</f>
        <v/>
      </c>
      <c r="C1208" s="114" t="str" cm="1">
        <f t="array" ref="C1208">IFERROR(INDEX('03.Muestra'!$F$8:$F$42,SMALL(IF("Página Web"='03.Muestra'!$D$8:$D$42,ROW('03.Muestra'!$F$8:$F$42)-MIN(ROW('03.Muestra'!$D$8:$D$42))+1,""),ROW()-1196)),"")</f>
        <v/>
      </c>
      <c r="D1208" s="130" t="str">
        <f t="shared" si="63"/>
        <v/>
      </c>
      <c r="E1208" s="107" t="str">
        <f t="shared" si="62"/>
        <v/>
      </c>
      <c r="F1208" s="19"/>
      <c r="G1208" s="19"/>
      <c r="H1208" s="19"/>
      <c r="I1208" s="19"/>
      <c r="J1208" s="19"/>
      <c r="K1208" s="233"/>
      <c r="L1208" s="19"/>
    </row>
    <row r="1209" spans="1:12" ht="12" customHeight="1">
      <c r="A1209" s="219" t="str" cm="1">
        <f t="array" ref="A1209">IFERROR(INDEX('03.Muestra'!$B$8:$B$42,SMALL(IF("Página Web"='03.Muestra'!$D$8:$D$42,ROW('03.Muestra'!$B$8:$B$42)-MIN(ROW('03.Muestra'!$D$8:$D$42))+1,""),ROW()-1196)),"")</f>
        <v/>
      </c>
      <c r="B1209" s="114" t="str" cm="1">
        <f t="array" ref="B1209">IFERROR(INDEX('03.Muestra'!$C$8:$C$42,SMALL(IF("Página Web"='03.Muestra'!$D$8:$D$42,ROW('03.Muestra'!$C$8:$C$42)-MIN(ROW('03.Muestra'!$D$8:$D$42))+1,""),ROW()-1196)),"")</f>
        <v/>
      </c>
      <c r="C1209" s="114" t="str" cm="1">
        <f t="array" ref="C1209">IFERROR(INDEX('03.Muestra'!$F$8:$F$42,SMALL(IF("Página Web"='03.Muestra'!$D$8:$D$42,ROW('03.Muestra'!$F$8:$F$42)-MIN(ROW('03.Muestra'!$D$8:$D$42))+1,""),ROW()-1196)),"")</f>
        <v/>
      </c>
      <c r="D1209" s="130" t="str">
        <f t="shared" si="63"/>
        <v/>
      </c>
      <c r="E1209" s="107" t="str">
        <f t="shared" si="62"/>
        <v/>
      </c>
      <c r="F1209" s="19"/>
      <c r="G1209" s="19"/>
      <c r="H1209" s="19"/>
      <c r="I1209" s="19"/>
      <c r="J1209" s="19"/>
      <c r="K1209" s="233"/>
      <c r="L1209" s="19"/>
    </row>
    <row r="1210" spans="1:12" ht="12" customHeight="1">
      <c r="A1210" s="219" t="str" cm="1">
        <f t="array" ref="A1210">IFERROR(INDEX('03.Muestra'!$B$8:$B$42,SMALL(IF("Página Web"='03.Muestra'!$D$8:$D$42,ROW('03.Muestra'!$B$8:$B$42)-MIN(ROW('03.Muestra'!$D$8:$D$42))+1,""),ROW()-1196)),"")</f>
        <v/>
      </c>
      <c r="B1210" s="114" t="str" cm="1">
        <f t="array" ref="B1210">IFERROR(INDEX('03.Muestra'!$C$8:$C$42,SMALL(IF("Página Web"='03.Muestra'!$D$8:$D$42,ROW('03.Muestra'!$C$8:$C$42)-MIN(ROW('03.Muestra'!$D$8:$D$42))+1,""),ROW()-1196)),"")</f>
        <v/>
      </c>
      <c r="C1210" s="114" t="str" cm="1">
        <f t="array" ref="C1210">IFERROR(INDEX('03.Muestra'!$F$8:$F$42,SMALL(IF("Página Web"='03.Muestra'!$D$8:$D$42,ROW('03.Muestra'!$F$8:$F$42)-MIN(ROW('03.Muestra'!$D$8:$D$42))+1,""),ROW()-1196)),"")</f>
        <v/>
      </c>
      <c r="D1210" s="130" t="str">
        <f t="shared" si="63"/>
        <v/>
      </c>
      <c r="E1210" s="107" t="str">
        <f t="shared" si="62"/>
        <v/>
      </c>
      <c r="F1210" s="19"/>
      <c r="G1210" s="19"/>
      <c r="H1210" s="19"/>
      <c r="I1210" s="19"/>
      <c r="J1210" s="19"/>
      <c r="K1210" s="233"/>
      <c r="L1210" s="19"/>
    </row>
    <row r="1211" spans="1:12" ht="12" customHeight="1">
      <c r="A1211" s="219" t="str" cm="1">
        <f t="array" ref="A1211">IFERROR(INDEX('03.Muestra'!$B$8:$B$42,SMALL(IF("Página Web"='03.Muestra'!$D$8:$D$42,ROW('03.Muestra'!$B$8:$B$42)-MIN(ROW('03.Muestra'!$D$8:$D$42))+1,""),ROW()-1196)),"")</f>
        <v/>
      </c>
      <c r="B1211" s="114" t="str" cm="1">
        <f t="array" ref="B1211">IFERROR(INDEX('03.Muestra'!$C$8:$C$42,SMALL(IF("Página Web"='03.Muestra'!$D$8:$D$42,ROW('03.Muestra'!$C$8:$C$42)-MIN(ROW('03.Muestra'!$D$8:$D$42))+1,""),ROW()-1196)),"")</f>
        <v/>
      </c>
      <c r="C1211" s="114" t="str" cm="1">
        <f t="array" ref="C1211">IFERROR(INDEX('03.Muestra'!$F$8:$F$42,SMALL(IF("Página Web"='03.Muestra'!$D$8:$D$42,ROW('03.Muestra'!$F$8:$F$42)-MIN(ROW('03.Muestra'!$D$8:$D$42))+1,""),ROW()-1196)),"")</f>
        <v/>
      </c>
      <c r="D1211" s="130" t="str">
        <f t="shared" si="63"/>
        <v/>
      </c>
      <c r="E1211" s="107" t="str">
        <f t="shared" si="62"/>
        <v/>
      </c>
      <c r="F1211" s="19"/>
      <c r="G1211" s="19"/>
      <c r="H1211" s="19"/>
      <c r="I1211" s="19"/>
      <c r="J1211" s="19"/>
      <c r="K1211" s="233"/>
      <c r="L1211" s="19"/>
    </row>
    <row r="1212" spans="1:12" ht="12" customHeight="1">
      <c r="A1212" s="219" t="str" cm="1">
        <f t="array" ref="A1212">IFERROR(INDEX('03.Muestra'!$B$8:$B$42,SMALL(IF("Página Web"='03.Muestra'!$D$8:$D$42,ROW('03.Muestra'!$B$8:$B$42)-MIN(ROW('03.Muestra'!$D$8:$D$42))+1,""),ROW()-1196)),"")</f>
        <v/>
      </c>
      <c r="B1212" s="114" t="str" cm="1">
        <f t="array" ref="B1212">IFERROR(INDEX('03.Muestra'!$C$8:$C$42,SMALL(IF("Página Web"='03.Muestra'!$D$8:$D$42,ROW('03.Muestra'!$C$8:$C$42)-MIN(ROW('03.Muestra'!$D$8:$D$42))+1,""),ROW()-1196)),"")</f>
        <v/>
      </c>
      <c r="C1212" s="114" t="str" cm="1">
        <f t="array" ref="C1212">IFERROR(INDEX('03.Muestra'!$F$8:$F$42,SMALL(IF("Página Web"='03.Muestra'!$D$8:$D$42,ROW('03.Muestra'!$F$8:$F$42)-MIN(ROW('03.Muestra'!$D$8:$D$42))+1,""),ROW()-1196)),"")</f>
        <v/>
      </c>
      <c r="D1212" s="130" t="str">
        <f t="shared" si="63"/>
        <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si="63"/>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http://www.madrid.org/presupuestos</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Menu 1</v>
      </c>
      <c r="C1236" s="114" t="str" cm="1">
        <f t="array" ref="C1236">IFERROR(INDEX('03.Muestra'!$F$8:$F$42,SMALL(IF("Página Web"='03.Muestra'!$D$8:$D$42,ROW('03.Muestra'!$F$8:$F$42)-MIN(ROW('03.Muestra'!$D$8:$D$42))+1,""),ROW()-1234)),"")</f>
        <v>http://www.madrid.org/presupuestos/index.php/presupuestos-generales/presupuestos-cm/2022</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5</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Menu 2</v>
      </c>
      <c r="C1237" s="114" t="str" cm="1">
        <f t="array" ref="C1237">IFERROR(INDEX('03.Muestra'!$F$8:$F$42,SMALL(IF("Página Web"='03.Muestra'!$D$8:$D$42,ROW('03.Muestra'!$F$8:$F$42)-MIN(ROW('03.Muestra'!$D$8:$D$42))+1,""),ROW()-1234)),"")</f>
        <v>http://www.madrid.org/presupuestos/index.php/ejecucion-presupuestaria</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Menu 3</v>
      </c>
      <c r="C1238" s="114" t="str" cm="1">
        <f t="array" ref="C1238">IFERROR(INDEX('03.Muestra'!$F$8:$F$42,SMALL(IF("Página Web"='03.Muestra'!$D$8:$D$42,ROW('03.Muestra'!$F$8:$F$42)-MIN(ROW('03.Muestra'!$D$8:$D$42))+1,""),ROW()-1234)),"")</f>
        <v>http://www.madrid.org/presupuestos/index.php/transparencia</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Accesibilidad</v>
      </c>
      <c r="C1239" s="114" t="str" cm="1">
        <f t="array" ref="C1239">IFERROR(INDEX('03.Muestra'!$F$8:$F$42,SMALL(IF("Página Web"='03.Muestra'!$D$8:$D$42,ROW('03.Muestra'!$F$8:$F$42)-MIN(ROW('03.Muestra'!$D$8:$D$42))+1,""),ROW()-1234)),"")</f>
        <v>http://www.madrid.org/presupuestos/index.php/accesibilidad-web</v>
      </c>
      <c r="D1239" s="130" t="s">
        <v>35</v>
      </c>
      <c r="E1239" s="107" t="str">
        <f t="shared" si="64"/>
        <v/>
      </c>
      <c r="G1239" s="19"/>
      <c r="H1239" s="19"/>
      <c r="I1239" s="19"/>
      <c r="J1239" s="19"/>
      <c r="K1239" s="233"/>
      <c r="L1239" s="19"/>
    </row>
    <row r="1240" spans="1:12" ht="12" customHeight="1">
      <c r="A1240" s="219" t="str" cm="1">
        <f t="array" ref="A1240">IFERROR(INDEX('03.Muestra'!$B$8:$B$42,SMALL(IF("Página Web"='03.Muestra'!$D$8:$D$42,ROW('03.Muestra'!$B$8:$B$42)-MIN(ROW('03.Muestra'!$D$8:$D$42))+1,""),ROW()-1234)),"")</f>
        <v/>
      </c>
      <c r="B1240" s="114" t="str" cm="1">
        <f t="array" ref="B1240">IFERROR(INDEX('03.Muestra'!$C$8:$C$42,SMALL(IF("Página Web"='03.Muestra'!$D$8:$D$42,ROW('03.Muestra'!$C$8:$C$42)-MIN(ROW('03.Muestra'!$D$8:$D$42))+1,""),ROW()-1234)),"")</f>
        <v/>
      </c>
      <c r="C1240" s="114" t="str" cm="1">
        <f t="array" ref="C1240">IFERROR(INDEX('03.Muestra'!$F$8:$F$42,SMALL(IF("Página Web"='03.Muestra'!$D$8:$D$42,ROW('03.Muestra'!$F$8:$F$42)-MIN(ROW('03.Muestra'!$D$8:$D$42))+1,""),ROW()-1234)),"")</f>
        <v/>
      </c>
      <c r="D1240" s="130" t="str">
        <f t="shared" ref="D1240:D1269" si="65">IF(AND(B1240&lt;&gt;"",C1240&lt;&gt;""),"N/T","")</f>
        <v/>
      </c>
      <c r="E1240" s="107" t="str">
        <f t="shared" si="64"/>
        <v/>
      </c>
      <c r="G1240" s="19"/>
      <c r="H1240" s="19"/>
      <c r="I1240" s="19"/>
      <c r="J1240" s="19"/>
      <c r="K1240" s="233"/>
      <c r="L1240" s="19"/>
    </row>
    <row r="1241" spans="1:12" ht="12" customHeight="1">
      <c r="A1241" s="219" t="str" cm="1">
        <f t="array" ref="A1241">IFERROR(INDEX('03.Muestra'!$B$8:$B$42,SMALL(IF("Página Web"='03.Muestra'!$D$8:$D$42,ROW('03.Muestra'!$B$8:$B$42)-MIN(ROW('03.Muestra'!$D$8:$D$42))+1,""),ROW()-1234)),"")</f>
        <v/>
      </c>
      <c r="B1241" s="114" t="str" cm="1">
        <f t="array" ref="B1241">IFERROR(INDEX('03.Muestra'!$C$8:$C$42,SMALL(IF("Página Web"='03.Muestra'!$D$8:$D$42,ROW('03.Muestra'!$C$8:$C$42)-MIN(ROW('03.Muestra'!$D$8:$D$42))+1,""),ROW()-1234)),"")</f>
        <v/>
      </c>
      <c r="C1241" s="114" t="str" cm="1">
        <f t="array" ref="C1241">IFERROR(INDEX('03.Muestra'!$F$8:$F$42,SMALL(IF("Página Web"='03.Muestra'!$D$8:$D$42,ROW('03.Muestra'!$F$8:$F$42)-MIN(ROW('03.Muestra'!$D$8:$D$42))+1,""),ROW()-1234)),"")</f>
        <v/>
      </c>
      <c r="D1241" s="130" t="str">
        <f t="shared" si="65"/>
        <v/>
      </c>
      <c r="E1241" s="107" t="str">
        <f t="shared" si="64"/>
        <v/>
      </c>
      <c r="F1241" s="19"/>
      <c r="G1241" s="19"/>
      <c r="H1241" s="19"/>
      <c r="I1241" s="19"/>
      <c r="J1241" s="19"/>
      <c r="K1241" s="233"/>
      <c r="L1241" s="19"/>
    </row>
    <row r="1242" spans="1:12" ht="12" customHeight="1">
      <c r="A1242" s="219" t="str" cm="1">
        <f t="array" ref="A1242">IFERROR(INDEX('03.Muestra'!$B$8:$B$42,SMALL(IF("Página Web"='03.Muestra'!$D$8:$D$42,ROW('03.Muestra'!$B$8:$B$42)-MIN(ROW('03.Muestra'!$D$8:$D$42))+1,""),ROW()-1234)),"")</f>
        <v/>
      </c>
      <c r="B1242" s="114" t="str" cm="1">
        <f t="array" ref="B1242">IFERROR(INDEX('03.Muestra'!$C$8:$C$42,SMALL(IF("Página Web"='03.Muestra'!$D$8:$D$42,ROW('03.Muestra'!$C$8:$C$42)-MIN(ROW('03.Muestra'!$D$8:$D$42))+1,""),ROW()-1234)),"")</f>
        <v/>
      </c>
      <c r="C1242" s="114" t="str" cm="1">
        <f t="array" ref="C1242">IFERROR(INDEX('03.Muestra'!$F$8:$F$42,SMALL(IF("Página Web"='03.Muestra'!$D$8:$D$42,ROW('03.Muestra'!$F$8:$F$42)-MIN(ROW('03.Muestra'!$D$8:$D$42))+1,""),ROW()-1234)),"")</f>
        <v/>
      </c>
      <c r="D1242" s="130" t="str">
        <f t="shared" si="65"/>
        <v/>
      </c>
      <c r="E1242" s="107" t="str">
        <f t="shared" si="64"/>
        <v/>
      </c>
      <c r="F1242" s="19"/>
      <c r="G1242" s="19"/>
      <c r="H1242" s="19"/>
      <c r="I1242" s="19"/>
      <c r="J1242" s="19"/>
      <c r="K1242" s="233"/>
      <c r="L1242" s="19"/>
    </row>
    <row r="1243" spans="1:12" ht="12" customHeight="1">
      <c r="A1243" s="219" t="str" cm="1">
        <f t="array" ref="A1243">IFERROR(INDEX('03.Muestra'!$B$8:$B$42,SMALL(IF("Página Web"='03.Muestra'!$D$8:$D$42,ROW('03.Muestra'!$B$8:$B$42)-MIN(ROW('03.Muestra'!$D$8:$D$42))+1,""),ROW()-1234)),"")</f>
        <v/>
      </c>
      <c r="B1243" s="114" t="str" cm="1">
        <f t="array" ref="B1243">IFERROR(INDEX('03.Muestra'!$C$8:$C$42,SMALL(IF("Página Web"='03.Muestra'!$D$8:$D$42,ROW('03.Muestra'!$C$8:$C$42)-MIN(ROW('03.Muestra'!$D$8:$D$42))+1,""),ROW()-1234)),"")</f>
        <v/>
      </c>
      <c r="C1243" s="114" t="str" cm="1">
        <f t="array" ref="C1243">IFERROR(INDEX('03.Muestra'!$F$8:$F$42,SMALL(IF("Página Web"='03.Muestra'!$D$8:$D$42,ROW('03.Muestra'!$F$8:$F$42)-MIN(ROW('03.Muestra'!$D$8:$D$42))+1,""),ROW()-1234)),"")</f>
        <v/>
      </c>
      <c r="D1243" s="130" t="str">
        <f t="shared" si="65"/>
        <v/>
      </c>
      <c r="E1243" s="107" t="str">
        <f t="shared" si="64"/>
        <v/>
      </c>
      <c r="F1243" s="19"/>
      <c r="G1243" s="19"/>
      <c r="H1243" s="19"/>
      <c r="I1243" s="19"/>
      <c r="J1243" s="19"/>
      <c r="K1243" s="233"/>
      <c r="L1243" s="19"/>
    </row>
    <row r="1244" spans="1:12" ht="12" customHeight="1">
      <c r="A1244" s="219" t="str" cm="1">
        <f t="array" ref="A1244">IFERROR(INDEX('03.Muestra'!$B$8:$B$42,SMALL(IF("Página Web"='03.Muestra'!$D$8:$D$42,ROW('03.Muestra'!$B$8:$B$42)-MIN(ROW('03.Muestra'!$D$8:$D$42))+1,""),ROW()-1234)),"")</f>
        <v/>
      </c>
      <c r="B1244" s="114" t="str" cm="1">
        <f t="array" ref="B1244">IFERROR(INDEX('03.Muestra'!$C$8:$C$42,SMALL(IF("Página Web"='03.Muestra'!$D$8:$D$42,ROW('03.Muestra'!$C$8:$C$42)-MIN(ROW('03.Muestra'!$D$8:$D$42))+1,""),ROW()-1234)),"")</f>
        <v/>
      </c>
      <c r="C1244" s="114" t="str" cm="1">
        <f t="array" ref="C1244">IFERROR(INDEX('03.Muestra'!$F$8:$F$42,SMALL(IF("Página Web"='03.Muestra'!$D$8:$D$42,ROW('03.Muestra'!$F$8:$F$42)-MIN(ROW('03.Muestra'!$D$8:$D$42))+1,""),ROW()-1234)),"")</f>
        <v/>
      </c>
      <c r="D1244" s="130" t="str">
        <f t="shared" si="65"/>
        <v/>
      </c>
      <c r="E1244" s="107" t="str">
        <f t="shared" si="64"/>
        <v/>
      </c>
      <c r="F1244" s="19"/>
      <c r="G1244" s="19"/>
      <c r="H1244" s="19"/>
      <c r="I1244" s="19"/>
      <c r="J1244" s="19"/>
      <c r="K1244" s="233"/>
      <c r="L1244" s="19"/>
    </row>
    <row r="1245" spans="1:12" ht="12" customHeight="1">
      <c r="A1245" s="219" t="str" cm="1">
        <f t="array" ref="A1245">IFERROR(INDEX('03.Muestra'!$B$8:$B$42,SMALL(IF("Página Web"='03.Muestra'!$D$8:$D$42,ROW('03.Muestra'!$B$8:$B$42)-MIN(ROW('03.Muestra'!$D$8:$D$42))+1,""),ROW()-1234)),"")</f>
        <v/>
      </c>
      <c r="B1245" s="114" t="str" cm="1">
        <f t="array" ref="B1245">IFERROR(INDEX('03.Muestra'!$C$8:$C$42,SMALL(IF("Página Web"='03.Muestra'!$D$8:$D$42,ROW('03.Muestra'!$C$8:$C$42)-MIN(ROW('03.Muestra'!$D$8:$D$42))+1,""),ROW()-1234)),"")</f>
        <v/>
      </c>
      <c r="C1245" s="114" t="str" cm="1">
        <f t="array" ref="C1245">IFERROR(INDEX('03.Muestra'!$F$8:$F$42,SMALL(IF("Página Web"='03.Muestra'!$D$8:$D$42,ROW('03.Muestra'!$F$8:$F$42)-MIN(ROW('03.Muestra'!$D$8:$D$42))+1,""),ROW()-1234)),"")</f>
        <v/>
      </c>
      <c r="D1245" s="130" t="str">
        <f t="shared" si="65"/>
        <v/>
      </c>
      <c r="E1245" s="107" t="str">
        <f t="shared" si="64"/>
        <v/>
      </c>
      <c r="F1245" s="19"/>
      <c r="G1245" s="19"/>
      <c r="H1245" s="19"/>
      <c r="I1245" s="19"/>
      <c r="J1245" s="19"/>
      <c r="K1245" s="233"/>
      <c r="L1245" s="19"/>
    </row>
    <row r="1246" spans="1:12" ht="12" customHeight="1">
      <c r="A1246" s="219" t="str" cm="1">
        <f t="array" ref="A1246">IFERROR(INDEX('03.Muestra'!$B$8:$B$42,SMALL(IF("Página Web"='03.Muestra'!$D$8:$D$42,ROW('03.Muestra'!$B$8:$B$42)-MIN(ROW('03.Muestra'!$D$8:$D$42))+1,""),ROW()-1234)),"")</f>
        <v/>
      </c>
      <c r="B1246" s="114" t="str" cm="1">
        <f t="array" ref="B1246">IFERROR(INDEX('03.Muestra'!$C$8:$C$42,SMALL(IF("Página Web"='03.Muestra'!$D$8:$D$42,ROW('03.Muestra'!$C$8:$C$42)-MIN(ROW('03.Muestra'!$D$8:$D$42))+1,""),ROW()-1234)),"")</f>
        <v/>
      </c>
      <c r="C1246" s="114" t="str" cm="1">
        <f t="array" ref="C1246">IFERROR(INDEX('03.Muestra'!$F$8:$F$42,SMALL(IF("Página Web"='03.Muestra'!$D$8:$D$42,ROW('03.Muestra'!$F$8:$F$42)-MIN(ROW('03.Muestra'!$D$8:$D$42))+1,""),ROW()-1234)),"")</f>
        <v/>
      </c>
      <c r="D1246" s="130" t="str">
        <f t="shared" si="65"/>
        <v/>
      </c>
      <c r="E1246" s="107" t="str">
        <f t="shared" si="64"/>
        <v/>
      </c>
      <c r="F1246" s="19"/>
      <c r="G1246" s="19"/>
      <c r="H1246" s="19"/>
      <c r="I1246" s="19"/>
      <c r="J1246" s="19"/>
      <c r="K1246" s="233"/>
      <c r="L1246" s="19"/>
    </row>
    <row r="1247" spans="1:12" ht="12" customHeight="1">
      <c r="A1247" s="219" t="str" cm="1">
        <f t="array" ref="A1247">IFERROR(INDEX('03.Muestra'!$B$8:$B$42,SMALL(IF("Página Web"='03.Muestra'!$D$8:$D$42,ROW('03.Muestra'!$B$8:$B$42)-MIN(ROW('03.Muestra'!$D$8:$D$42))+1,""),ROW()-1234)),"")</f>
        <v/>
      </c>
      <c r="B1247" s="114" t="str" cm="1">
        <f t="array" ref="B1247">IFERROR(INDEX('03.Muestra'!$C$8:$C$42,SMALL(IF("Página Web"='03.Muestra'!$D$8:$D$42,ROW('03.Muestra'!$C$8:$C$42)-MIN(ROW('03.Muestra'!$D$8:$D$42))+1,""),ROW()-1234)),"")</f>
        <v/>
      </c>
      <c r="C1247" s="114" t="str" cm="1">
        <f t="array" ref="C1247">IFERROR(INDEX('03.Muestra'!$F$8:$F$42,SMALL(IF("Página Web"='03.Muestra'!$D$8:$D$42,ROW('03.Muestra'!$F$8:$F$42)-MIN(ROW('03.Muestra'!$D$8:$D$42))+1,""),ROW()-1234)),"")</f>
        <v/>
      </c>
      <c r="D1247" s="130" t="str">
        <f t="shared" si="65"/>
        <v/>
      </c>
      <c r="E1247" s="107" t="str">
        <f t="shared" si="64"/>
        <v/>
      </c>
      <c r="F1247" s="19"/>
      <c r="G1247" s="19"/>
      <c r="H1247" s="19"/>
      <c r="I1247" s="19"/>
      <c r="J1247" s="19"/>
      <c r="K1247" s="233"/>
      <c r="L1247" s="19"/>
    </row>
    <row r="1248" spans="1:12" ht="12" customHeight="1">
      <c r="A1248" s="219" t="str" cm="1">
        <f t="array" ref="A1248">IFERROR(INDEX('03.Muestra'!$B$8:$B$42,SMALL(IF("Página Web"='03.Muestra'!$D$8:$D$42,ROW('03.Muestra'!$B$8:$B$42)-MIN(ROW('03.Muestra'!$D$8:$D$42))+1,""),ROW()-1234)),"")</f>
        <v/>
      </c>
      <c r="B1248" s="114" t="str" cm="1">
        <f t="array" ref="B1248">IFERROR(INDEX('03.Muestra'!$C$8:$C$42,SMALL(IF("Página Web"='03.Muestra'!$D$8:$D$42,ROW('03.Muestra'!$C$8:$C$42)-MIN(ROW('03.Muestra'!$D$8:$D$42))+1,""),ROW()-1234)),"")</f>
        <v/>
      </c>
      <c r="C1248" s="114" t="str" cm="1">
        <f t="array" ref="C1248">IFERROR(INDEX('03.Muestra'!$F$8:$F$42,SMALL(IF("Página Web"='03.Muestra'!$D$8:$D$42,ROW('03.Muestra'!$F$8:$F$42)-MIN(ROW('03.Muestra'!$D$8:$D$42))+1,""),ROW()-1234)),"")</f>
        <v/>
      </c>
      <c r="D1248" s="130" t="str">
        <f t="shared" si="65"/>
        <v/>
      </c>
      <c r="E1248" s="107" t="str">
        <f t="shared" si="64"/>
        <v/>
      </c>
      <c r="F1248" s="19"/>
      <c r="G1248" s="19"/>
      <c r="H1248" s="19"/>
      <c r="I1248" s="19"/>
      <c r="J1248" s="19"/>
      <c r="K1248" s="233"/>
      <c r="L1248" s="19"/>
    </row>
    <row r="1249" spans="1:12" ht="12" customHeight="1">
      <c r="A1249" s="219" t="str" cm="1">
        <f t="array" ref="A1249">IFERROR(INDEX('03.Muestra'!$B$8:$B$42,SMALL(IF("Página Web"='03.Muestra'!$D$8:$D$42,ROW('03.Muestra'!$B$8:$B$42)-MIN(ROW('03.Muestra'!$D$8:$D$42))+1,""),ROW()-1234)),"")</f>
        <v/>
      </c>
      <c r="B1249" s="114" t="str" cm="1">
        <f t="array" ref="B1249">IFERROR(INDEX('03.Muestra'!$C$8:$C$42,SMALL(IF("Página Web"='03.Muestra'!$D$8:$D$42,ROW('03.Muestra'!$C$8:$C$42)-MIN(ROW('03.Muestra'!$D$8:$D$42))+1,""),ROW()-1234)),"")</f>
        <v/>
      </c>
      <c r="C1249" s="114" t="str" cm="1">
        <f t="array" ref="C1249">IFERROR(INDEX('03.Muestra'!$F$8:$F$42,SMALL(IF("Página Web"='03.Muestra'!$D$8:$D$42,ROW('03.Muestra'!$F$8:$F$42)-MIN(ROW('03.Muestra'!$D$8:$D$42))+1,""),ROW()-1234)),"")</f>
        <v/>
      </c>
      <c r="D1249" s="130" t="str">
        <f t="shared" si="65"/>
        <v/>
      </c>
      <c r="E1249" s="107" t="str">
        <f t="shared" si="64"/>
        <v/>
      </c>
      <c r="F1249" s="19"/>
      <c r="G1249" s="19"/>
      <c r="H1249" s="19"/>
      <c r="I1249" s="19"/>
      <c r="J1249" s="19"/>
      <c r="K1249" s="233"/>
      <c r="L1249" s="19"/>
    </row>
    <row r="1250" spans="1:12" ht="12" customHeight="1">
      <c r="A1250" s="219" t="str" cm="1">
        <f t="array" ref="A1250">IFERROR(INDEX('03.Muestra'!$B$8:$B$42,SMALL(IF("Página Web"='03.Muestra'!$D$8:$D$42,ROW('03.Muestra'!$B$8:$B$42)-MIN(ROW('03.Muestra'!$D$8:$D$42))+1,""),ROW()-1234)),"")</f>
        <v/>
      </c>
      <c r="B1250" s="114" t="str" cm="1">
        <f t="array" ref="B1250">IFERROR(INDEX('03.Muestra'!$C$8:$C$42,SMALL(IF("Página Web"='03.Muestra'!$D$8:$D$42,ROW('03.Muestra'!$C$8:$C$42)-MIN(ROW('03.Muestra'!$D$8:$D$42))+1,""),ROW()-1234)),"")</f>
        <v/>
      </c>
      <c r="C1250" s="114" t="str" cm="1">
        <f t="array" ref="C1250">IFERROR(INDEX('03.Muestra'!$F$8:$F$42,SMALL(IF("Página Web"='03.Muestra'!$D$8:$D$42,ROW('03.Muestra'!$F$8:$F$42)-MIN(ROW('03.Muestra'!$D$8:$D$42))+1,""),ROW()-1234)),"")</f>
        <v/>
      </c>
      <c r="D1250" s="130" t="str">
        <f t="shared" si="65"/>
        <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si="65"/>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http://www.madrid.org/presupuestos</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Menu 1</v>
      </c>
      <c r="C1274" s="114" t="str" cm="1">
        <f t="array" ref="C1274">IFERROR(INDEX('03.Muestra'!$F$8:$F$42,SMALL(IF("Página Web"='03.Muestra'!$D$8:$D$42,ROW('03.Muestra'!$F$8:$F$42)-MIN(ROW('03.Muestra'!$D$8:$D$42))+1,""),ROW()-1272)),"")</f>
        <v>http://www.madrid.org/presupuestos/index.php/presupuestos-generales/presupuestos-cm/2022</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5</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Menu 2</v>
      </c>
      <c r="C1275" s="114" t="str" cm="1">
        <f t="array" ref="C1275">IFERROR(INDEX('03.Muestra'!$F$8:$F$42,SMALL(IF("Página Web"='03.Muestra'!$D$8:$D$42,ROW('03.Muestra'!$F$8:$F$42)-MIN(ROW('03.Muestra'!$D$8:$D$42))+1,""),ROW()-1272)),"")</f>
        <v>http://www.madrid.org/presupuestos/index.php/ejecucion-presupuestaria</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Menu 3</v>
      </c>
      <c r="C1276" s="114" t="str" cm="1">
        <f t="array" ref="C1276">IFERROR(INDEX('03.Muestra'!$F$8:$F$42,SMALL(IF("Página Web"='03.Muestra'!$D$8:$D$42,ROW('03.Muestra'!$F$8:$F$42)-MIN(ROW('03.Muestra'!$D$8:$D$42))+1,""),ROW()-1272)),"")</f>
        <v>http://www.madrid.org/presupuestos/index.php/transparencia</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Accesibilidad</v>
      </c>
      <c r="C1277" s="114" t="str" cm="1">
        <f t="array" ref="C1277">IFERROR(INDEX('03.Muestra'!$F$8:$F$42,SMALL(IF("Página Web"='03.Muestra'!$D$8:$D$42,ROW('03.Muestra'!$F$8:$F$42)-MIN(ROW('03.Muestra'!$D$8:$D$42))+1,""),ROW()-1272)),"")</f>
        <v>http://www.madrid.org/presupuestos/index.php/accesibilidad-web</v>
      </c>
      <c r="D1277" s="130" t="s">
        <v>35</v>
      </c>
      <c r="E1277" s="107" t="str">
        <f t="shared" si="66"/>
        <v/>
      </c>
      <c r="G1277" s="19"/>
      <c r="H1277" s="19"/>
      <c r="I1277" s="19"/>
      <c r="J1277" s="19"/>
      <c r="K1277" s="233"/>
    </row>
    <row r="1278" spans="1:12" ht="12" customHeight="1">
      <c r="A1278" s="219" t="str" cm="1">
        <f t="array" ref="A1278">IFERROR(INDEX('03.Muestra'!$B$8:$B$42,SMALL(IF("Página Web"='03.Muestra'!$D$8:$D$42,ROW('03.Muestra'!$B$8:$B$42)-MIN(ROW('03.Muestra'!$D$8:$D$42))+1,""),ROW()-1272)),"")</f>
        <v/>
      </c>
      <c r="B1278" s="114" t="str" cm="1">
        <f t="array" ref="B1278">IFERROR(INDEX('03.Muestra'!$C$8:$C$42,SMALL(IF("Página Web"='03.Muestra'!$D$8:$D$42,ROW('03.Muestra'!$C$8:$C$42)-MIN(ROW('03.Muestra'!$D$8:$D$42))+1,""),ROW()-1272)),"")</f>
        <v/>
      </c>
      <c r="C1278" s="114" t="str" cm="1">
        <f t="array" ref="C1278">IFERROR(INDEX('03.Muestra'!$F$8:$F$42,SMALL(IF("Página Web"='03.Muestra'!$D$8:$D$42,ROW('03.Muestra'!$F$8:$F$42)-MIN(ROW('03.Muestra'!$D$8:$D$42))+1,""),ROW()-1272)),"")</f>
        <v/>
      </c>
      <c r="D1278" s="130" t="str">
        <f t="shared" ref="D1278:D1307" si="67">IF(AND(B1278&lt;&gt;"",C1278&lt;&gt;""),"N/T","")</f>
        <v/>
      </c>
      <c r="E1278" s="107" t="str">
        <f t="shared" si="66"/>
        <v/>
      </c>
      <c r="G1278" s="19"/>
      <c r="H1278" s="19"/>
      <c r="I1278" s="19"/>
      <c r="J1278" s="19"/>
      <c r="K1278" s="233"/>
    </row>
    <row r="1279" spans="1:12" ht="12" customHeight="1">
      <c r="A1279" s="219" t="str" cm="1">
        <f t="array" ref="A1279">IFERROR(INDEX('03.Muestra'!$B$8:$B$42,SMALL(IF("Página Web"='03.Muestra'!$D$8:$D$42,ROW('03.Muestra'!$B$8:$B$42)-MIN(ROW('03.Muestra'!$D$8:$D$42))+1,""),ROW()-1272)),"")</f>
        <v/>
      </c>
      <c r="B1279" s="114" t="str" cm="1">
        <f t="array" ref="B1279">IFERROR(INDEX('03.Muestra'!$C$8:$C$42,SMALL(IF("Página Web"='03.Muestra'!$D$8:$D$42,ROW('03.Muestra'!$C$8:$C$42)-MIN(ROW('03.Muestra'!$D$8:$D$42))+1,""),ROW()-1272)),"")</f>
        <v/>
      </c>
      <c r="C1279" s="114" t="str" cm="1">
        <f t="array" ref="C1279">IFERROR(INDEX('03.Muestra'!$F$8:$F$42,SMALL(IF("Página Web"='03.Muestra'!$D$8:$D$42,ROW('03.Muestra'!$F$8:$F$42)-MIN(ROW('03.Muestra'!$D$8:$D$42))+1,""),ROW()-1272)),"")</f>
        <v/>
      </c>
      <c r="D1279" s="130" t="str">
        <f t="shared" si="67"/>
        <v/>
      </c>
      <c r="E1279" s="107" t="str">
        <f t="shared" si="66"/>
        <v/>
      </c>
      <c r="F1279" s="19"/>
      <c r="G1279" s="19"/>
      <c r="H1279" s="19"/>
      <c r="I1279" s="19"/>
      <c r="J1279" s="19"/>
      <c r="K1279" s="233"/>
    </row>
    <row r="1280" spans="1:12" ht="12" customHeight="1">
      <c r="A1280" s="219" t="str" cm="1">
        <f t="array" ref="A1280">IFERROR(INDEX('03.Muestra'!$B$8:$B$42,SMALL(IF("Página Web"='03.Muestra'!$D$8:$D$42,ROW('03.Muestra'!$B$8:$B$42)-MIN(ROW('03.Muestra'!$D$8:$D$42))+1,""),ROW()-1272)),"")</f>
        <v/>
      </c>
      <c r="B1280" s="114" t="str" cm="1">
        <f t="array" ref="B1280">IFERROR(INDEX('03.Muestra'!$C$8:$C$42,SMALL(IF("Página Web"='03.Muestra'!$D$8:$D$42,ROW('03.Muestra'!$C$8:$C$42)-MIN(ROW('03.Muestra'!$D$8:$D$42))+1,""),ROW()-1272)),"")</f>
        <v/>
      </c>
      <c r="C1280" s="114" t="str" cm="1">
        <f t="array" ref="C1280">IFERROR(INDEX('03.Muestra'!$F$8:$F$42,SMALL(IF("Página Web"='03.Muestra'!$D$8:$D$42,ROW('03.Muestra'!$F$8:$F$42)-MIN(ROW('03.Muestra'!$D$8:$D$42))+1,""),ROW()-1272)),"")</f>
        <v/>
      </c>
      <c r="D1280" s="130" t="str">
        <f t="shared" si="67"/>
        <v/>
      </c>
      <c r="E1280" s="107" t="str">
        <f t="shared" si="66"/>
        <v/>
      </c>
      <c r="F1280" s="19"/>
      <c r="G1280" s="19"/>
      <c r="H1280" s="19"/>
      <c r="I1280" s="19"/>
      <c r="J1280" s="19"/>
      <c r="K1280" s="233"/>
    </row>
    <row r="1281" spans="1:12" ht="12" customHeight="1">
      <c r="A1281" s="219" t="str" cm="1">
        <f t="array" ref="A1281">IFERROR(INDEX('03.Muestra'!$B$8:$B$42,SMALL(IF("Página Web"='03.Muestra'!$D$8:$D$42,ROW('03.Muestra'!$B$8:$B$42)-MIN(ROW('03.Muestra'!$D$8:$D$42))+1,""),ROW()-1272)),"")</f>
        <v/>
      </c>
      <c r="B1281" s="114" t="str" cm="1">
        <f t="array" ref="B1281">IFERROR(INDEX('03.Muestra'!$C$8:$C$42,SMALL(IF("Página Web"='03.Muestra'!$D$8:$D$42,ROW('03.Muestra'!$C$8:$C$42)-MIN(ROW('03.Muestra'!$D$8:$D$42))+1,""),ROW()-1272)),"")</f>
        <v/>
      </c>
      <c r="C1281" s="114" t="str" cm="1">
        <f t="array" ref="C1281">IFERROR(INDEX('03.Muestra'!$F$8:$F$42,SMALL(IF("Página Web"='03.Muestra'!$D$8:$D$42,ROW('03.Muestra'!$F$8:$F$42)-MIN(ROW('03.Muestra'!$D$8:$D$42))+1,""),ROW()-1272)),"")</f>
        <v/>
      </c>
      <c r="D1281" s="130" t="str">
        <f t="shared" si="67"/>
        <v/>
      </c>
      <c r="E1281" s="107" t="str">
        <f t="shared" si="66"/>
        <v/>
      </c>
      <c r="F1281" s="19"/>
      <c r="G1281" s="19"/>
      <c r="H1281" s="19"/>
      <c r="I1281" s="19"/>
      <c r="J1281" s="19"/>
      <c r="K1281" s="233"/>
      <c r="L1281" s="19"/>
    </row>
    <row r="1282" spans="1:12" ht="12" customHeight="1">
      <c r="A1282" s="219" t="str" cm="1">
        <f t="array" ref="A1282">IFERROR(INDEX('03.Muestra'!$B$8:$B$42,SMALL(IF("Página Web"='03.Muestra'!$D$8:$D$42,ROW('03.Muestra'!$B$8:$B$42)-MIN(ROW('03.Muestra'!$D$8:$D$42))+1,""),ROW()-1272)),"")</f>
        <v/>
      </c>
      <c r="B1282" s="114" t="str" cm="1">
        <f t="array" ref="B1282">IFERROR(INDEX('03.Muestra'!$C$8:$C$42,SMALL(IF("Página Web"='03.Muestra'!$D$8:$D$42,ROW('03.Muestra'!$C$8:$C$42)-MIN(ROW('03.Muestra'!$D$8:$D$42))+1,""),ROW()-1272)),"")</f>
        <v/>
      </c>
      <c r="C1282" s="114" t="str" cm="1">
        <f t="array" ref="C1282">IFERROR(INDEX('03.Muestra'!$F$8:$F$42,SMALL(IF("Página Web"='03.Muestra'!$D$8:$D$42,ROW('03.Muestra'!$F$8:$F$42)-MIN(ROW('03.Muestra'!$D$8:$D$42))+1,""),ROW()-1272)),"")</f>
        <v/>
      </c>
      <c r="D1282" s="130" t="str">
        <f t="shared" si="67"/>
        <v/>
      </c>
      <c r="E1282" s="107" t="str">
        <f t="shared" si="66"/>
        <v/>
      </c>
      <c r="F1282" s="19"/>
      <c r="G1282" s="19"/>
      <c r="H1282" s="19"/>
      <c r="I1282" s="19"/>
      <c r="J1282" s="19"/>
      <c r="K1282" s="233"/>
      <c r="L1282" s="19"/>
    </row>
    <row r="1283" spans="1:12" ht="12" customHeight="1">
      <c r="A1283" s="219" t="str" cm="1">
        <f t="array" ref="A1283">IFERROR(INDEX('03.Muestra'!$B$8:$B$42,SMALL(IF("Página Web"='03.Muestra'!$D$8:$D$42,ROW('03.Muestra'!$B$8:$B$42)-MIN(ROW('03.Muestra'!$D$8:$D$42))+1,""),ROW()-1272)),"")</f>
        <v/>
      </c>
      <c r="B1283" s="114" t="str" cm="1">
        <f t="array" ref="B1283">IFERROR(INDEX('03.Muestra'!$C$8:$C$42,SMALL(IF("Página Web"='03.Muestra'!$D$8:$D$42,ROW('03.Muestra'!$C$8:$C$42)-MIN(ROW('03.Muestra'!$D$8:$D$42))+1,""),ROW()-1272)),"")</f>
        <v/>
      </c>
      <c r="C1283" s="114" t="str" cm="1">
        <f t="array" ref="C1283">IFERROR(INDEX('03.Muestra'!$F$8:$F$42,SMALL(IF("Página Web"='03.Muestra'!$D$8:$D$42,ROW('03.Muestra'!$F$8:$F$42)-MIN(ROW('03.Muestra'!$D$8:$D$42))+1,""),ROW()-1272)),"")</f>
        <v/>
      </c>
      <c r="D1283" s="130" t="str">
        <f t="shared" si="67"/>
        <v/>
      </c>
      <c r="E1283" s="107" t="str">
        <f t="shared" si="66"/>
        <v/>
      </c>
      <c r="F1283" s="19"/>
      <c r="G1283" s="19"/>
      <c r="H1283" s="19"/>
      <c r="I1283" s="19"/>
      <c r="J1283" s="19"/>
      <c r="K1283" s="233"/>
      <c r="L1283" s="19"/>
    </row>
    <row r="1284" spans="1:12" ht="12" customHeight="1">
      <c r="A1284" s="219" t="str" cm="1">
        <f t="array" ref="A1284">IFERROR(INDEX('03.Muestra'!$B$8:$B$42,SMALL(IF("Página Web"='03.Muestra'!$D$8:$D$42,ROW('03.Muestra'!$B$8:$B$42)-MIN(ROW('03.Muestra'!$D$8:$D$42))+1,""),ROW()-1272)),"")</f>
        <v/>
      </c>
      <c r="B1284" s="114" t="str" cm="1">
        <f t="array" ref="B1284">IFERROR(INDEX('03.Muestra'!$C$8:$C$42,SMALL(IF("Página Web"='03.Muestra'!$D$8:$D$42,ROW('03.Muestra'!$C$8:$C$42)-MIN(ROW('03.Muestra'!$D$8:$D$42))+1,""),ROW()-1272)),"")</f>
        <v/>
      </c>
      <c r="C1284" s="114" t="str" cm="1">
        <f t="array" ref="C1284">IFERROR(INDEX('03.Muestra'!$F$8:$F$42,SMALL(IF("Página Web"='03.Muestra'!$D$8:$D$42,ROW('03.Muestra'!$F$8:$F$42)-MIN(ROW('03.Muestra'!$D$8:$D$42))+1,""),ROW()-1272)),"")</f>
        <v/>
      </c>
      <c r="D1284" s="130" t="str">
        <f t="shared" si="67"/>
        <v/>
      </c>
      <c r="E1284" s="107" t="str">
        <f t="shared" si="66"/>
        <v/>
      </c>
      <c r="F1284" s="19"/>
      <c r="G1284" s="19"/>
      <c r="H1284" s="19"/>
      <c r="I1284" s="19"/>
      <c r="J1284" s="19"/>
      <c r="K1284" s="233"/>
      <c r="L1284" s="19"/>
    </row>
    <row r="1285" spans="1:12" ht="12" customHeight="1">
      <c r="A1285" s="219" t="str" cm="1">
        <f t="array" ref="A1285">IFERROR(INDEX('03.Muestra'!$B$8:$B$42,SMALL(IF("Página Web"='03.Muestra'!$D$8:$D$42,ROW('03.Muestra'!$B$8:$B$42)-MIN(ROW('03.Muestra'!$D$8:$D$42))+1,""),ROW()-1272)),"")</f>
        <v/>
      </c>
      <c r="B1285" s="114" t="str" cm="1">
        <f t="array" ref="B1285">IFERROR(INDEX('03.Muestra'!$C$8:$C$42,SMALL(IF("Página Web"='03.Muestra'!$D$8:$D$42,ROW('03.Muestra'!$C$8:$C$42)-MIN(ROW('03.Muestra'!$D$8:$D$42))+1,""),ROW()-1272)),"")</f>
        <v/>
      </c>
      <c r="C1285" s="114" t="str" cm="1">
        <f t="array" ref="C1285">IFERROR(INDEX('03.Muestra'!$F$8:$F$42,SMALL(IF("Página Web"='03.Muestra'!$D$8:$D$42,ROW('03.Muestra'!$F$8:$F$42)-MIN(ROW('03.Muestra'!$D$8:$D$42))+1,""),ROW()-1272)),"")</f>
        <v/>
      </c>
      <c r="D1285" s="130" t="str">
        <f t="shared" si="67"/>
        <v/>
      </c>
      <c r="E1285" s="107" t="str">
        <f t="shared" si="66"/>
        <v/>
      </c>
      <c r="F1285" s="19"/>
      <c r="G1285" s="19"/>
      <c r="H1285" s="19"/>
      <c r="I1285" s="19"/>
      <c r="J1285" s="19"/>
      <c r="K1285" s="233"/>
      <c r="L1285" s="19"/>
    </row>
    <row r="1286" spans="1:12" ht="12" customHeight="1">
      <c r="A1286" s="219" t="str" cm="1">
        <f t="array" ref="A1286">IFERROR(INDEX('03.Muestra'!$B$8:$B$42,SMALL(IF("Página Web"='03.Muestra'!$D$8:$D$42,ROW('03.Muestra'!$B$8:$B$42)-MIN(ROW('03.Muestra'!$D$8:$D$42))+1,""),ROW()-1272)),"")</f>
        <v/>
      </c>
      <c r="B1286" s="114" t="str" cm="1">
        <f t="array" ref="B1286">IFERROR(INDEX('03.Muestra'!$C$8:$C$42,SMALL(IF("Página Web"='03.Muestra'!$D$8:$D$42,ROW('03.Muestra'!$C$8:$C$42)-MIN(ROW('03.Muestra'!$D$8:$D$42))+1,""),ROW()-1272)),"")</f>
        <v/>
      </c>
      <c r="C1286" s="114" t="str" cm="1">
        <f t="array" ref="C1286">IFERROR(INDEX('03.Muestra'!$F$8:$F$42,SMALL(IF("Página Web"='03.Muestra'!$D$8:$D$42,ROW('03.Muestra'!$F$8:$F$42)-MIN(ROW('03.Muestra'!$D$8:$D$42))+1,""),ROW()-1272)),"")</f>
        <v/>
      </c>
      <c r="D1286" s="130" t="str">
        <f t="shared" si="67"/>
        <v/>
      </c>
      <c r="E1286" s="107" t="str">
        <f t="shared" si="66"/>
        <v/>
      </c>
      <c r="F1286" s="19"/>
      <c r="G1286" s="19"/>
      <c r="H1286" s="19"/>
      <c r="I1286" s="19"/>
      <c r="J1286" s="19"/>
      <c r="K1286" s="233"/>
      <c r="L1286" s="19"/>
    </row>
    <row r="1287" spans="1:12" ht="12" customHeight="1">
      <c r="A1287" s="219" t="str" cm="1">
        <f t="array" ref="A1287">IFERROR(INDEX('03.Muestra'!$B$8:$B$42,SMALL(IF("Página Web"='03.Muestra'!$D$8:$D$42,ROW('03.Muestra'!$B$8:$B$42)-MIN(ROW('03.Muestra'!$D$8:$D$42))+1,""),ROW()-1272)),"")</f>
        <v/>
      </c>
      <c r="B1287" s="114" t="str" cm="1">
        <f t="array" ref="B1287">IFERROR(INDEX('03.Muestra'!$C$8:$C$42,SMALL(IF("Página Web"='03.Muestra'!$D$8:$D$42,ROW('03.Muestra'!$C$8:$C$42)-MIN(ROW('03.Muestra'!$D$8:$D$42))+1,""),ROW()-1272)),"")</f>
        <v/>
      </c>
      <c r="C1287" s="114" t="str" cm="1">
        <f t="array" ref="C1287">IFERROR(INDEX('03.Muestra'!$F$8:$F$42,SMALL(IF("Página Web"='03.Muestra'!$D$8:$D$42,ROW('03.Muestra'!$F$8:$F$42)-MIN(ROW('03.Muestra'!$D$8:$D$42))+1,""),ROW()-1272)),"")</f>
        <v/>
      </c>
      <c r="D1287" s="130" t="str">
        <f t="shared" si="67"/>
        <v/>
      </c>
      <c r="E1287" s="107" t="str">
        <f t="shared" si="66"/>
        <v/>
      </c>
      <c r="F1287" s="19"/>
      <c r="G1287" s="19"/>
      <c r="H1287" s="19"/>
      <c r="I1287" s="19"/>
      <c r="J1287" s="19"/>
      <c r="K1287" s="233"/>
      <c r="L1287" s="19"/>
    </row>
    <row r="1288" spans="1:12" ht="12" customHeight="1">
      <c r="A1288" s="219" t="str" cm="1">
        <f t="array" ref="A1288">IFERROR(INDEX('03.Muestra'!$B$8:$B$42,SMALL(IF("Página Web"='03.Muestra'!$D$8:$D$42,ROW('03.Muestra'!$B$8:$B$42)-MIN(ROW('03.Muestra'!$D$8:$D$42))+1,""),ROW()-1272)),"")</f>
        <v/>
      </c>
      <c r="B1288" s="114" t="str" cm="1">
        <f t="array" ref="B1288">IFERROR(INDEX('03.Muestra'!$C$8:$C$42,SMALL(IF("Página Web"='03.Muestra'!$D$8:$D$42,ROW('03.Muestra'!$C$8:$C$42)-MIN(ROW('03.Muestra'!$D$8:$D$42))+1,""),ROW()-1272)),"")</f>
        <v/>
      </c>
      <c r="C1288" s="114" t="str" cm="1">
        <f t="array" ref="C1288">IFERROR(INDEX('03.Muestra'!$F$8:$F$42,SMALL(IF("Página Web"='03.Muestra'!$D$8:$D$42,ROW('03.Muestra'!$F$8:$F$42)-MIN(ROW('03.Muestra'!$D$8:$D$42))+1,""),ROW()-1272)),"")</f>
        <v/>
      </c>
      <c r="D1288" s="130" t="str">
        <f t="shared" si="67"/>
        <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si="67"/>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http://www.madrid.org/presupuestos</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Menu 1</v>
      </c>
      <c r="C1312" s="114" t="str" cm="1">
        <f t="array" ref="C1312">IFERROR(INDEX('03.Muestra'!$F$8:$F$42,SMALL(IF("Página Web"='03.Muestra'!$D$8:$D$42,ROW('03.Muestra'!$F$8:$F$42)-MIN(ROW('03.Muestra'!$D$8:$D$42))+1,""),ROW()-1310)),"")</f>
        <v>http://www.madrid.org/presupuestos/index.php/presupuestos-generales/presupuestos-cm/2022</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5</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Menu 2</v>
      </c>
      <c r="C1313" s="114" t="str" cm="1">
        <f t="array" ref="C1313">IFERROR(INDEX('03.Muestra'!$F$8:$F$42,SMALL(IF("Página Web"='03.Muestra'!$D$8:$D$42,ROW('03.Muestra'!$F$8:$F$42)-MIN(ROW('03.Muestra'!$D$8:$D$42))+1,""),ROW()-1310)),"")</f>
        <v>http://www.madrid.org/presupuestos/index.php/ejecucion-presupuestaria</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Menu 3</v>
      </c>
      <c r="C1314" s="114" t="str" cm="1">
        <f t="array" ref="C1314">IFERROR(INDEX('03.Muestra'!$F$8:$F$42,SMALL(IF("Página Web"='03.Muestra'!$D$8:$D$42,ROW('03.Muestra'!$F$8:$F$42)-MIN(ROW('03.Muestra'!$D$8:$D$42))+1,""),ROW()-1310)),"")</f>
        <v>http://www.madrid.org/presupuestos/index.php/transparencia</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Accesibilidad</v>
      </c>
      <c r="C1315" s="114" t="str" cm="1">
        <f t="array" ref="C1315">IFERROR(INDEX('03.Muestra'!$F$8:$F$42,SMALL(IF("Página Web"='03.Muestra'!$D$8:$D$42,ROW('03.Muestra'!$F$8:$F$42)-MIN(ROW('03.Muestra'!$D$8:$D$42))+1,""),ROW()-1310)),"")</f>
        <v>http://www.madrid.org/presupuestos/index.php/accesibilidad-web</v>
      </c>
      <c r="D1315" s="130" t="s">
        <v>26</v>
      </c>
      <c r="E1315" s="107" t="str">
        <f t="shared" si="68"/>
        <v/>
      </c>
      <c r="G1315" s="19"/>
      <c r="H1315" s="19"/>
      <c r="I1315" s="19"/>
      <c r="J1315" s="19"/>
      <c r="K1315" s="233"/>
      <c r="L1315" s="19"/>
    </row>
    <row r="1316" spans="1:12" ht="12" customHeight="1">
      <c r="A1316" s="219" t="str" cm="1">
        <f t="array" ref="A1316">IFERROR(INDEX('03.Muestra'!$B$8:$B$42,SMALL(IF("Página Web"='03.Muestra'!$D$8:$D$42,ROW('03.Muestra'!$B$8:$B$42)-MIN(ROW('03.Muestra'!$D$8:$D$42))+1,""),ROW()-1310)),"")</f>
        <v/>
      </c>
      <c r="B1316" s="114" t="str" cm="1">
        <f t="array" ref="B1316">IFERROR(INDEX('03.Muestra'!$C$8:$C$42,SMALL(IF("Página Web"='03.Muestra'!$D$8:$D$42,ROW('03.Muestra'!$C$8:$C$42)-MIN(ROW('03.Muestra'!$D$8:$D$42))+1,""),ROW()-1310)),"")</f>
        <v/>
      </c>
      <c r="C1316" s="114" t="str" cm="1">
        <f t="array" ref="C1316">IFERROR(INDEX('03.Muestra'!$F$8:$F$42,SMALL(IF("Página Web"='03.Muestra'!$D$8:$D$42,ROW('03.Muestra'!$F$8:$F$42)-MIN(ROW('03.Muestra'!$D$8:$D$42))+1,""),ROW()-1310)),"")</f>
        <v/>
      </c>
      <c r="D1316" s="130" t="str">
        <f t="shared" ref="D1316:D1345" si="69">IF(AND(B1316&lt;&gt;"",C1316&lt;&gt;""),"N/T","")</f>
        <v/>
      </c>
      <c r="E1316" s="107" t="str">
        <f t="shared" si="68"/>
        <v/>
      </c>
      <c r="G1316" s="19"/>
      <c r="H1316" s="19"/>
      <c r="I1316" s="19"/>
      <c r="J1316" s="19"/>
      <c r="K1316" s="233"/>
      <c r="L1316" s="19"/>
    </row>
    <row r="1317" spans="1:12" ht="12" customHeight="1">
      <c r="A1317" s="219" t="str" cm="1">
        <f t="array" ref="A1317">IFERROR(INDEX('03.Muestra'!$B$8:$B$42,SMALL(IF("Página Web"='03.Muestra'!$D$8:$D$42,ROW('03.Muestra'!$B$8:$B$42)-MIN(ROW('03.Muestra'!$D$8:$D$42))+1,""),ROW()-1310)),"")</f>
        <v/>
      </c>
      <c r="B1317" s="114" t="str" cm="1">
        <f t="array" ref="B1317">IFERROR(INDEX('03.Muestra'!$C$8:$C$42,SMALL(IF("Página Web"='03.Muestra'!$D$8:$D$42,ROW('03.Muestra'!$C$8:$C$42)-MIN(ROW('03.Muestra'!$D$8:$D$42))+1,""),ROW()-1310)),"")</f>
        <v/>
      </c>
      <c r="C1317" s="114" t="str" cm="1">
        <f t="array" ref="C1317">IFERROR(INDEX('03.Muestra'!$F$8:$F$42,SMALL(IF("Página Web"='03.Muestra'!$D$8:$D$42,ROW('03.Muestra'!$F$8:$F$42)-MIN(ROW('03.Muestra'!$D$8:$D$42))+1,""),ROW()-1310)),"")</f>
        <v/>
      </c>
      <c r="D1317" s="130" t="str">
        <f t="shared" si="69"/>
        <v/>
      </c>
      <c r="E1317" s="107" t="str">
        <f t="shared" si="68"/>
        <v/>
      </c>
      <c r="F1317" s="19"/>
      <c r="G1317" s="19"/>
      <c r="H1317" s="19"/>
      <c r="I1317" s="19"/>
      <c r="J1317" s="19"/>
      <c r="K1317" s="233"/>
      <c r="L1317" s="19"/>
    </row>
    <row r="1318" spans="1:12" ht="12" customHeight="1">
      <c r="A1318" s="219" t="str" cm="1">
        <f t="array" ref="A1318">IFERROR(INDEX('03.Muestra'!$B$8:$B$42,SMALL(IF("Página Web"='03.Muestra'!$D$8:$D$42,ROW('03.Muestra'!$B$8:$B$42)-MIN(ROW('03.Muestra'!$D$8:$D$42))+1,""),ROW()-1310)),"")</f>
        <v/>
      </c>
      <c r="B1318" s="114" t="str" cm="1">
        <f t="array" ref="B1318">IFERROR(INDEX('03.Muestra'!$C$8:$C$42,SMALL(IF("Página Web"='03.Muestra'!$D$8:$D$42,ROW('03.Muestra'!$C$8:$C$42)-MIN(ROW('03.Muestra'!$D$8:$D$42))+1,""),ROW()-1310)),"")</f>
        <v/>
      </c>
      <c r="C1318" s="114" t="str" cm="1">
        <f t="array" ref="C1318">IFERROR(INDEX('03.Muestra'!$F$8:$F$42,SMALL(IF("Página Web"='03.Muestra'!$D$8:$D$42,ROW('03.Muestra'!$F$8:$F$42)-MIN(ROW('03.Muestra'!$D$8:$D$42))+1,""),ROW()-1310)),"")</f>
        <v/>
      </c>
      <c r="D1318" s="130" t="str">
        <f t="shared" si="69"/>
        <v/>
      </c>
      <c r="E1318" s="107" t="str">
        <f t="shared" si="68"/>
        <v/>
      </c>
      <c r="F1318" s="19"/>
      <c r="G1318" s="19"/>
      <c r="H1318" s="19"/>
      <c r="I1318" s="19"/>
      <c r="J1318" s="19"/>
      <c r="K1318" s="233"/>
      <c r="L1318" s="19"/>
    </row>
    <row r="1319" spans="1:12" ht="12" customHeight="1">
      <c r="A1319" s="219" t="str" cm="1">
        <f t="array" ref="A1319">IFERROR(INDEX('03.Muestra'!$B$8:$B$42,SMALL(IF("Página Web"='03.Muestra'!$D$8:$D$42,ROW('03.Muestra'!$B$8:$B$42)-MIN(ROW('03.Muestra'!$D$8:$D$42))+1,""),ROW()-1310)),"")</f>
        <v/>
      </c>
      <c r="B1319" s="114" t="str" cm="1">
        <f t="array" ref="B1319">IFERROR(INDEX('03.Muestra'!$C$8:$C$42,SMALL(IF("Página Web"='03.Muestra'!$D$8:$D$42,ROW('03.Muestra'!$C$8:$C$42)-MIN(ROW('03.Muestra'!$D$8:$D$42))+1,""),ROW()-1310)),"")</f>
        <v/>
      </c>
      <c r="C1319" s="114" t="str" cm="1">
        <f t="array" ref="C1319">IFERROR(INDEX('03.Muestra'!$F$8:$F$42,SMALL(IF("Página Web"='03.Muestra'!$D$8:$D$42,ROW('03.Muestra'!$F$8:$F$42)-MIN(ROW('03.Muestra'!$D$8:$D$42))+1,""),ROW()-1310)),"")</f>
        <v/>
      </c>
      <c r="D1319" s="130" t="str">
        <f t="shared" si="69"/>
        <v/>
      </c>
      <c r="E1319" s="107" t="str">
        <f t="shared" si="68"/>
        <v/>
      </c>
      <c r="F1319" s="19"/>
      <c r="G1319" s="19"/>
      <c r="H1319" s="19"/>
      <c r="I1319" s="19"/>
      <c r="J1319" s="19"/>
      <c r="K1319" s="233"/>
      <c r="L1319" s="19"/>
    </row>
    <row r="1320" spans="1:12" ht="12" customHeight="1">
      <c r="A1320" s="219" t="str" cm="1">
        <f t="array" ref="A1320">IFERROR(INDEX('03.Muestra'!$B$8:$B$42,SMALL(IF("Página Web"='03.Muestra'!$D$8:$D$42,ROW('03.Muestra'!$B$8:$B$42)-MIN(ROW('03.Muestra'!$D$8:$D$42))+1,""),ROW()-1310)),"")</f>
        <v/>
      </c>
      <c r="B1320" s="114" t="str" cm="1">
        <f t="array" ref="B1320">IFERROR(INDEX('03.Muestra'!$C$8:$C$42,SMALL(IF("Página Web"='03.Muestra'!$D$8:$D$42,ROW('03.Muestra'!$C$8:$C$42)-MIN(ROW('03.Muestra'!$D$8:$D$42))+1,""),ROW()-1310)),"")</f>
        <v/>
      </c>
      <c r="C1320" s="114" t="str" cm="1">
        <f t="array" ref="C1320">IFERROR(INDEX('03.Muestra'!$F$8:$F$42,SMALL(IF("Página Web"='03.Muestra'!$D$8:$D$42,ROW('03.Muestra'!$F$8:$F$42)-MIN(ROW('03.Muestra'!$D$8:$D$42))+1,""),ROW()-1310)),"")</f>
        <v/>
      </c>
      <c r="D1320" s="130" t="str">
        <f t="shared" si="69"/>
        <v/>
      </c>
      <c r="E1320" s="107" t="str">
        <f t="shared" si="68"/>
        <v/>
      </c>
      <c r="F1320" s="19"/>
      <c r="G1320" s="19"/>
      <c r="H1320" s="19"/>
      <c r="I1320" s="19"/>
      <c r="J1320" s="19"/>
      <c r="K1320" s="233"/>
      <c r="L1320" s="19"/>
    </row>
    <row r="1321" spans="1:12" ht="12" customHeight="1">
      <c r="A1321" s="219" t="str" cm="1">
        <f t="array" ref="A1321">IFERROR(INDEX('03.Muestra'!$B$8:$B$42,SMALL(IF("Página Web"='03.Muestra'!$D$8:$D$42,ROW('03.Muestra'!$B$8:$B$42)-MIN(ROW('03.Muestra'!$D$8:$D$42))+1,""),ROW()-1310)),"")</f>
        <v/>
      </c>
      <c r="B1321" s="114" t="str" cm="1">
        <f t="array" ref="B1321">IFERROR(INDEX('03.Muestra'!$C$8:$C$42,SMALL(IF("Página Web"='03.Muestra'!$D$8:$D$42,ROW('03.Muestra'!$C$8:$C$42)-MIN(ROW('03.Muestra'!$D$8:$D$42))+1,""),ROW()-1310)),"")</f>
        <v/>
      </c>
      <c r="C1321" s="114" t="str" cm="1">
        <f t="array" ref="C1321">IFERROR(INDEX('03.Muestra'!$F$8:$F$42,SMALL(IF("Página Web"='03.Muestra'!$D$8:$D$42,ROW('03.Muestra'!$F$8:$F$42)-MIN(ROW('03.Muestra'!$D$8:$D$42))+1,""),ROW()-1310)),"")</f>
        <v/>
      </c>
      <c r="D1321" s="130" t="str">
        <f t="shared" si="69"/>
        <v/>
      </c>
      <c r="E1321" s="107" t="str">
        <f t="shared" si="68"/>
        <v/>
      </c>
      <c r="F1321" s="19"/>
      <c r="G1321" s="19"/>
      <c r="H1321" s="19"/>
      <c r="I1321" s="19"/>
      <c r="J1321" s="19"/>
      <c r="K1321" s="233"/>
      <c r="L1321" s="19"/>
    </row>
    <row r="1322" spans="1:12" ht="12" customHeight="1">
      <c r="A1322" s="219" t="str" cm="1">
        <f t="array" ref="A1322">IFERROR(INDEX('03.Muestra'!$B$8:$B$42,SMALL(IF("Página Web"='03.Muestra'!$D$8:$D$42,ROW('03.Muestra'!$B$8:$B$42)-MIN(ROW('03.Muestra'!$D$8:$D$42))+1,""),ROW()-1310)),"")</f>
        <v/>
      </c>
      <c r="B1322" s="114" t="str" cm="1">
        <f t="array" ref="B1322">IFERROR(INDEX('03.Muestra'!$C$8:$C$42,SMALL(IF("Página Web"='03.Muestra'!$D$8:$D$42,ROW('03.Muestra'!$C$8:$C$42)-MIN(ROW('03.Muestra'!$D$8:$D$42))+1,""),ROW()-1310)),"")</f>
        <v/>
      </c>
      <c r="C1322" s="114" t="str" cm="1">
        <f t="array" ref="C1322">IFERROR(INDEX('03.Muestra'!$F$8:$F$42,SMALL(IF("Página Web"='03.Muestra'!$D$8:$D$42,ROW('03.Muestra'!$F$8:$F$42)-MIN(ROW('03.Muestra'!$D$8:$D$42))+1,""),ROW()-1310)),"")</f>
        <v/>
      </c>
      <c r="D1322" s="130" t="str">
        <f t="shared" si="69"/>
        <v/>
      </c>
      <c r="E1322" s="107" t="str">
        <f t="shared" si="68"/>
        <v/>
      </c>
      <c r="F1322" s="19"/>
      <c r="G1322" s="19"/>
      <c r="H1322" s="19"/>
      <c r="I1322" s="19"/>
      <c r="J1322" s="19"/>
      <c r="K1322" s="233"/>
      <c r="L1322" s="19"/>
    </row>
    <row r="1323" spans="1:12" ht="12" customHeight="1">
      <c r="A1323" s="219" t="str" cm="1">
        <f t="array" ref="A1323">IFERROR(INDEX('03.Muestra'!$B$8:$B$42,SMALL(IF("Página Web"='03.Muestra'!$D$8:$D$42,ROW('03.Muestra'!$B$8:$B$42)-MIN(ROW('03.Muestra'!$D$8:$D$42))+1,""),ROW()-1310)),"")</f>
        <v/>
      </c>
      <c r="B1323" s="114" t="str" cm="1">
        <f t="array" ref="B1323">IFERROR(INDEX('03.Muestra'!$C$8:$C$42,SMALL(IF("Página Web"='03.Muestra'!$D$8:$D$42,ROW('03.Muestra'!$C$8:$C$42)-MIN(ROW('03.Muestra'!$D$8:$D$42))+1,""),ROW()-1310)),"")</f>
        <v/>
      </c>
      <c r="C1323" s="114" t="str" cm="1">
        <f t="array" ref="C1323">IFERROR(INDEX('03.Muestra'!$F$8:$F$42,SMALL(IF("Página Web"='03.Muestra'!$D$8:$D$42,ROW('03.Muestra'!$F$8:$F$42)-MIN(ROW('03.Muestra'!$D$8:$D$42))+1,""),ROW()-1310)),"")</f>
        <v/>
      </c>
      <c r="D1323" s="130" t="str">
        <f t="shared" si="69"/>
        <v/>
      </c>
      <c r="E1323" s="107" t="str">
        <f t="shared" si="68"/>
        <v/>
      </c>
      <c r="F1323" s="19"/>
      <c r="G1323" s="19"/>
      <c r="H1323" s="19"/>
      <c r="I1323" s="19"/>
      <c r="J1323" s="19"/>
      <c r="K1323" s="233"/>
      <c r="L1323" s="19"/>
    </row>
    <row r="1324" spans="1:12" ht="12" customHeight="1">
      <c r="A1324" s="219" t="str" cm="1">
        <f t="array" ref="A1324">IFERROR(INDEX('03.Muestra'!$B$8:$B$42,SMALL(IF("Página Web"='03.Muestra'!$D$8:$D$42,ROW('03.Muestra'!$B$8:$B$42)-MIN(ROW('03.Muestra'!$D$8:$D$42))+1,""),ROW()-1310)),"")</f>
        <v/>
      </c>
      <c r="B1324" s="114" t="str" cm="1">
        <f t="array" ref="B1324">IFERROR(INDEX('03.Muestra'!$C$8:$C$42,SMALL(IF("Página Web"='03.Muestra'!$D$8:$D$42,ROW('03.Muestra'!$C$8:$C$42)-MIN(ROW('03.Muestra'!$D$8:$D$42))+1,""),ROW()-1310)),"")</f>
        <v/>
      </c>
      <c r="C1324" s="114" t="str" cm="1">
        <f t="array" ref="C1324">IFERROR(INDEX('03.Muestra'!$F$8:$F$42,SMALL(IF("Página Web"='03.Muestra'!$D$8:$D$42,ROW('03.Muestra'!$F$8:$F$42)-MIN(ROW('03.Muestra'!$D$8:$D$42))+1,""),ROW()-1310)),"")</f>
        <v/>
      </c>
      <c r="D1324" s="130" t="str">
        <f t="shared" si="69"/>
        <v/>
      </c>
      <c r="E1324" s="107" t="str">
        <f t="shared" si="68"/>
        <v/>
      </c>
      <c r="F1324" s="19"/>
      <c r="G1324" s="19"/>
      <c r="H1324" s="19"/>
      <c r="I1324" s="19"/>
      <c r="J1324" s="19"/>
      <c r="K1324" s="233"/>
      <c r="L1324" s="19"/>
    </row>
    <row r="1325" spans="1:12" ht="12" customHeight="1">
      <c r="A1325" s="219" t="str" cm="1">
        <f t="array" ref="A1325">IFERROR(INDEX('03.Muestra'!$B$8:$B$42,SMALL(IF("Página Web"='03.Muestra'!$D$8:$D$42,ROW('03.Muestra'!$B$8:$B$42)-MIN(ROW('03.Muestra'!$D$8:$D$42))+1,""),ROW()-1310)),"")</f>
        <v/>
      </c>
      <c r="B1325" s="114" t="str" cm="1">
        <f t="array" ref="B1325">IFERROR(INDEX('03.Muestra'!$C$8:$C$42,SMALL(IF("Página Web"='03.Muestra'!$D$8:$D$42,ROW('03.Muestra'!$C$8:$C$42)-MIN(ROW('03.Muestra'!$D$8:$D$42))+1,""),ROW()-1310)),"")</f>
        <v/>
      </c>
      <c r="C1325" s="114" t="str" cm="1">
        <f t="array" ref="C1325">IFERROR(INDEX('03.Muestra'!$F$8:$F$42,SMALL(IF("Página Web"='03.Muestra'!$D$8:$D$42,ROW('03.Muestra'!$F$8:$F$42)-MIN(ROW('03.Muestra'!$D$8:$D$42))+1,""),ROW()-1310)),"")</f>
        <v/>
      </c>
      <c r="D1325" s="130" t="str">
        <f t="shared" si="69"/>
        <v/>
      </c>
      <c r="E1325" s="107" t="str">
        <f t="shared" si="68"/>
        <v/>
      </c>
      <c r="F1325" s="19"/>
      <c r="G1325" s="19"/>
      <c r="H1325" s="19"/>
      <c r="I1325" s="19"/>
      <c r="J1325" s="19"/>
      <c r="K1325" s="233"/>
      <c r="L1325" s="19"/>
    </row>
    <row r="1326" spans="1:12" ht="12" customHeight="1">
      <c r="A1326" s="219" t="str" cm="1">
        <f t="array" ref="A1326">IFERROR(INDEX('03.Muestra'!$B$8:$B$42,SMALL(IF("Página Web"='03.Muestra'!$D$8:$D$42,ROW('03.Muestra'!$B$8:$B$42)-MIN(ROW('03.Muestra'!$D$8:$D$42))+1,""),ROW()-1310)),"")</f>
        <v/>
      </c>
      <c r="B1326" s="114" t="str" cm="1">
        <f t="array" ref="B1326">IFERROR(INDEX('03.Muestra'!$C$8:$C$42,SMALL(IF("Página Web"='03.Muestra'!$D$8:$D$42,ROW('03.Muestra'!$C$8:$C$42)-MIN(ROW('03.Muestra'!$D$8:$D$42))+1,""),ROW()-1310)),"")</f>
        <v/>
      </c>
      <c r="C1326" s="114" t="str" cm="1">
        <f t="array" ref="C1326">IFERROR(INDEX('03.Muestra'!$F$8:$F$42,SMALL(IF("Página Web"='03.Muestra'!$D$8:$D$42,ROW('03.Muestra'!$F$8:$F$42)-MIN(ROW('03.Muestra'!$D$8:$D$42))+1,""),ROW()-1310)),"")</f>
        <v/>
      </c>
      <c r="D1326" s="130" t="str">
        <f t="shared" si="69"/>
        <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si="69"/>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http://www.madrid.org/presupuestos</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Menu 1</v>
      </c>
      <c r="C1350" s="114" t="str" cm="1">
        <f t="array" ref="C1350">IFERROR(INDEX('03.Muestra'!$F$8:$F$42,SMALL(IF("Página Web"='03.Muestra'!$D$8:$D$42,ROW('03.Muestra'!$F$8:$F$42)-MIN(ROW('03.Muestra'!$D$8:$D$42))+1,""),ROW()-1348)),"")</f>
        <v>http://www.madrid.org/presupuestos/index.php/presupuestos-generales/presupuestos-cm/2022</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5</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Menu 2</v>
      </c>
      <c r="C1351" s="114" t="str" cm="1">
        <f t="array" ref="C1351">IFERROR(INDEX('03.Muestra'!$F$8:$F$42,SMALL(IF("Página Web"='03.Muestra'!$D$8:$D$42,ROW('03.Muestra'!$F$8:$F$42)-MIN(ROW('03.Muestra'!$D$8:$D$42))+1,""),ROW()-1348)),"")</f>
        <v>http://www.madrid.org/presupuestos/index.php/ejecucion-presupuestaria</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Menu 3</v>
      </c>
      <c r="C1352" s="114" t="str" cm="1">
        <f t="array" ref="C1352">IFERROR(INDEX('03.Muestra'!$F$8:$F$42,SMALL(IF("Página Web"='03.Muestra'!$D$8:$D$42,ROW('03.Muestra'!$F$8:$F$42)-MIN(ROW('03.Muestra'!$D$8:$D$42))+1,""),ROW()-1348)),"")</f>
        <v>http://www.madrid.org/presupuestos/index.php/transparencia</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Accesibilidad</v>
      </c>
      <c r="C1353" s="114" t="str" cm="1">
        <f t="array" ref="C1353">IFERROR(INDEX('03.Muestra'!$F$8:$F$42,SMALL(IF("Página Web"='03.Muestra'!$D$8:$D$42,ROW('03.Muestra'!$F$8:$F$42)-MIN(ROW('03.Muestra'!$D$8:$D$42))+1,""),ROW()-1348)),"")</f>
        <v>http://www.madrid.org/presupuestos/index.php/accesibilidad-web</v>
      </c>
      <c r="D1353" s="130" t="s">
        <v>35</v>
      </c>
      <c r="E1353" s="107" t="str">
        <f t="shared" si="70"/>
        <v/>
      </c>
      <c r="G1353" s="19"/>
      <c r="H1353" s="19"/>
      <c r="I1353" s="19"/>
      <c r="J1353" s="19"/>
      <c r="K1353" s="233"/>
      <c r="L1353" s="19"/>
    </row>
    <row r="1354" spans="1:12" ht="12" customHeight="1">
      <c r="A1354" s="219" t="str" cm="1">
        <f t="array" ref="A1354">IFERROR(INDEX('03.Muestra'!$B$8:$B$42,SMALL(IF("Página Web"='03.Muestra'!$D$8:$D$42,ROW('03.Muestra'!$B$8:$B$42)-MIN(ROW('03.Muestra'!$D$8:$D$42))+1,""),ROW()-1348)),"")</f>
        <v/>
      </c>
      <c r="B1354" s="114" t="str" cm="1">
        <f t="array" ref="B1354">IFERROR(INDEX('03.Muestra'!$C$8:$C$42,SMALL(IF("Página Web"='03.Muestra'!$D$8:$D$42,ROW('03.Muestra'!$C$8:$C$42)-MIN(ROW('03.Muestra'!$D$8:$D$42))+1,""),ROW()-1348)),"")</f>
        <v/>
      </c>
      <c r="C1354" s="114" t="str" cm="1">
        <f t="array" ref="C1354">IFERROR(INDEX('03.Muestra'!$F$8:$F$42,SMALL(IF("Página Web"='03.Muestra'!$D$8:$D$42,ROW('03.Muestra'!$F$8:$F$42)-MIN(ROW('03.Muestra'!$D$8:$D$42))+1,""),ROW()-1348)),"")</f>
        <v/>
      </c>
      <c r="D1354" s="130" t="str">
        <f t="shared" ref="D1354:D1383" si="71">IF(AND(B1354&lt;&gt;"",C1354&lt;&gt;""),"N/T","")</f>
        <v/>
      </c>
      <c r="E1354" s="107" t="str">
        <f t="shared" si="70"/>
        <v/>
      </c>
      <c r="G1354" s="19"/>
      <c r="H1354" s="19"/>
      <c r="I1354" s="19"/>
      <c r="J1354" s="19"/>
      <c r="K1354" s="233"/>
      <c r="L1354" s="19"/>
    </row>
    <row r="1355" spans="1:12" ht="12" customHeight="1">
      <c r="A1355" s="219" t="str" cm="1">
        <f t="array" ref="A1355">IFERROR(INDEX('03.Muestra'!$B$8:$B$42,SMALL(IF("Página Web"='03.Muestra'!$D$8:$D$42,ROW('03.Muestra'!$B$8:$B$42)-MIN(ROW('03.Muestra'!$D$8:$D$42))+1,""),ROW()-1348)),"")</f>
        <v/>
      </c>
      <c r="B1355" s="114" t="str" cm="1">
        <f t="array" ref="B1355">IFERROR(INDEX('03.Muestra'!$C$8:$C$42,SMALL(IF("Página Web"='03.Muestra'!$D$8:$D$42,ROW('03.Muestra'!$C$8:$C$42)-MIN(ROW('03.Muestra'!$D$8:$D$42))+1,""),ROW()-1348)),"")</f>
        <v/>
      </c>
      <c r="C1355" s="114" t="str" cm="1">
        <f t="array" ref="C1355">IFERROR(INDEX('03.Muestra'!$F$8:$F$42,SMALL(IF("Página Web"='03.Muestra'!$D$8:$D$42,ROW('03.Muestra'!$F$8:$F$42)-MIN(ROW('03.Muestra'!$D$8:$D$42))+1,""),ROW()-1348)),"")</f>
        <v/>
      </c>
      <c r="D1355" s="130" t="str">
        <f t="shared" si="71"/>
        <v/>
      </c>
      <c r="E1355" s="107" t="str">
        <f t="shared" si="70"/>
        <v/>
      </c>
      <c r="F1355" s="19"/>
      <c r="G1355" s="19"/>
      <c r="H1355" s="19"/>
      <c r="I1355" s="19"/>
      <c r="J1355" s="19"/>
      <c r="K1355" s="233"/>
      <c r="L1355" s="19"/>
    </row>
    <row r="1356" spans="1:12" ht="12" customHeight="1">
      <c r="A1356" s="219" t="str" cm="1">
        <f t="array" ref="A1356">IFERROR(INDEX('03.Muestra'!$B$8:$B$42,SMALL(IF("Página Web"='03.Muestra'!$D$8:$D$42,ROW('03.Muestra'!$B$8:$B$42)-MIN(ROW('03.Muestra'!$D$8:$D$42))+1,""),ROW()-1348)),"")</f>
        <v/>
      </c>
      <c r="B1356" s="114" t="str" cm="1">
        <f t="array" ref="B1356">IFERROR(INDEX('03.Muestra'!$C$8:$C$42,SMALL(IF("Página Web"='03.Muestra'!$D$8:$D$42,ROW('03.Muestra'!$C$8:$C$42)-MIN(ROW('03.Muestra'!$D$8:$D$42))+1,""),ROW()-1348)),"")</f>
        <v/>
      </c>
      <c r="C1356" s="114" t="str" cm="1">
        <f t="array" ref="C1356">IFERROR(INDEX('03.Muestra'!$F$8:$F$42,SMALL(IF("Página Web"='03.Muestra'!$D$8:$D$42,ROW('03.Muestra'!$F$8:$F$42)-MIN(ROW('03.Muestra'!$D$8:$D$42))+1,""),ROW()-1348)),"")</f>
        <v/>
      </c>
      <c r="D1356" s="130" t="str">
        <f t="shared" si="71"/>
        <v/>
      </c>
      <c r="E1356" s="107" t="str">
        <f t="shared" si="70"/>
        <v/>
      </c>
      <c r="F1356" s="19"/>
      <c r="G1356" s="19"/>
      <c r="H1356" s="19"/>
      <c r="I1356" s="19"/>
      <c r="J1356" s="19"/>
      <c r="K1356" s="233"/>
      <c r="L1356" s="19"/>
    </row>
    <row r="1357" spans="1:12" ht="12" customHeight="1">
      <c r="A1357" s="219" t="str" cm="1">
        <f t="array" ref="A1357">IFERROR(INDEX('03.Muestra'!$B$8:$B$42,SMALL(IF("Página Web"='03.Muestra'!$D$8:$D$42,ROW('03.Muestra'!$B$8:$B$42)-MIN(ROW('03.Muestra'!$D$8:$D$42))+1,""),ROW()-1348)),"")</f>
        <v/>
      </c>
      <c r="B1357" s="114" t="str" cm="1">
        <f t="array" ref="B1357">IFERROR(INDEX('03.Muestra'!$C$8:$C$42,SMALL(IF("Página Web"='03.Muestra'!$D$8:$D$42,ROW('03.Muestra'!$C$8:$C$42)-MIN(ROW('03.Muestra'!$D$8:$D$42))+1,""),ROW()-1348)),"")</f>
        <v/>
      </c>
      <c r="C1357" s="114" t="str" cm="1">
        <f t="array" ref="C1357">IFERROR(INDEX('03.Muestra'!$F$8:$F$42,SMALL(IF("Página Web"='03.Muestra'!$D$8:$D$42,ROW('03.Muestra'!$F$8:$F$42)-MIN(ROW('03.Muestra'!$D$8:$D$42))+1,""),ROW()-1348)),"")</f>
        <v/>
      </c>
      <c r="D1357" s="130" t="str">
        <f t="shared" si="71"/>
        <v/>
      </c>
      <c r="E1357" s="107" t="str">
        <f t="shared" si="70"/>
        <v/>
      </c>
      <c r="F1357" s="19"/>
      <c r="G1357" s="19"/>
      <c r="H1357" s="19"/>
      <c r="I1357" s="19"/>
      <c r="J1357" s="19"/>
      <c r="K1357" s="233"/>
      <c r="L1357" s="19"/>
    </row>
    <row r="1358" spans="1:12" ht="12" customHeight="1">
      <c r="A1358" s="219" t="str" cm="1">
        <f t="array" ref="A1358">IFERROR(INDEX('03.Muestra'!$B$8:$B$42,SMALL(IF("Página Web"='03.Muestra'!$D$8:$D$42,ROW('03.Muestra'!$B$8:$B$42)-MIN(ROW('03.Muestra'!$D$8:$D$42))+1,""),ROW()-1348)),"")</f>
        <v/>
      </c>
      <c r="B1358" s="114" t="str" cm="1">
        <f t="array" ref="B1358">IFERROR(INDEX('03.Muestra'!$C$8:$C$42,SMALL(IF("Página Web"='03.Muestra'!$D$8:$D$42,ROW('03.Muestra'!$C$8:$C$42)-MIN(ROW('03.Muestra'!$D$8:$D$42))+1,""),ROW()-1348)),"")</f>
        <v/>
      </c>
      <c r="C1358" s="114" t="str" cm="1">
        <f t="array" ref="C1358">IFERROR(INDEX('03.Muestra'!$F$8:$F$42,SMALL(IF("Página Web"='03.Muestra'!$D$8:$D$42,ROW('03.Muestra'!$F$8:$F$42)-MIN(ROW('03.Muestra'!$D$8:$D$42))+1,""),ROW()-1348)),"")</f>
        <v/>
      </c>
      <c r="D1358" s="130" t="str">
        <f t="shared" si="71"/>
        <v/>
      </c>
      <c r="E1358" s="107" t="str">
        <f t="shared" si="70"/>
        <v/>
      </c>
      <c r="F1358" s="19"/>
      <c r="G1358" s="19"/>
      <c r="H1358" s="19"/>
      <c r="I1358" s="19"/>
      <c r="J1358" s="19"/>
      <c r="K1358" s="233"/>
      <c r="L1358" s="19"/>
    </row>
    <row r="1359" spans="1:12" ht="12" customHeight="1">
      <c r="A1359" s="219" t="str" cm="1">
        <f t="array" ref="A1359">IFERROR(INDEX('03.Muestra'!$B$8:$B$42,SMALL(IF("Página Web"='03.Muestra'!$D$8:$D$42,ROW('03.Muestra'!$B$8:$B$42)-MIN(ROW('03.Muestra'!$D$8:$D$42))+1,""),ROW()-1348)),"")</f>
        <v/>
      </c>
      <c r="B1359" s="114" t="str" cm="1">
        <f t="array" ref="B1359">IFERROR(INDEX('03.Muestra'!$C$8:$C$42,SMALL(IF("Página Web"='03.Muestra'!$D$8:$D$42,ROW('03.Muestra'!$C$8:$C$42)-MIN(ROW('03.Muestra'!$D$8:$D$42))+1,""),ROW()-1348)),"")</f>
        <v/>
      </c>
      <c r="C1359" s="114" t="str" cm="1">
        <f t="array" ref="C1359">IFERROR(INDEX('03.Muestra'!$F$8:$F$42,SMALL(IF("Página Web"='03.Muestra'!$D$8:$D$42,ROW('03.Muestra'!$F$8:$F$42)-MIN(ROW('03.Muestra'!$D$8:$D$42))+1,""),ROW()-1348)),"")</f>
        <v/>
      </c>
      <c r="D1359" s="130" t="str">
        <f t="shared" si="71"/>
        <v/>
      </c>
      <c r="E1359" s="107" t="str">
        <f t="shared" si="70"/>
        <v/>
      </c>
      <c r="F1359" s="19"/>
      <c r="G1359" s="19"/>
      <c r="H1359" s="19"/>
      <c r="I1359" s="19"/>
      <c r="J1359" s="19"/>
      <c r="K1359" s="233"/>
      <c r="L1359" s="19"/>
    </row>
    <row r="1360" spans="1:12" ht="12" customHeight="1">
      <c r="A1360" s="219" t="str" cm="1">
        <f t="array" ref="A1360">IFERROR(INDEX('03.Muestra'!$B$8:$B$42,SMALL(IF("Página Web"='03.Muestra'!$D$8:$D$42,ROW('03.Muestra'!$B$8:$B$42)-MIN(ROW('03.Muestra'!$D$8:$D$42))+1,""),ROW()-1348)),"")</f>
        <v/>
      </c>
      <c r="B1360" s="114" t="str" cm="1">
        <f t="array" ref="B1360">IFERROR(INDEX('03.Muestra'!$C$8:$C$42,SMALL(IF("Página Web"='03.Muestra'!$D$8:$D$42,ROW('03.Muestra'!$C$8:$C$42)-MIN(ROW('03.Muestra'!$D$8:$D$42))+1,""),ROW()-1348)),"")</f>
        <v/>
      </c>
      <c r="C1360" s="114" t="str" cm="1">
        <f t="array" ref="C1360">IFERROR(INDEX('03.Muestra'!$F$8:$F$42,SMALL(IF("Página Web"='03.Muestra'!$D$8:$D$42,ROW('03.Muestra'!$F$8:$F$42)-MIN(ROW('03.Muestra'!$D$8:$D$42))+1,""),ROW()-1348)),"")</f>
        <v/>
      </c>
      <c r="D1360" s="130" t="str">
        <f t="shared" si="71"/>
        <v/>
      </c>
      <c r="E1360" s="107" t="str">
        <f t="shared" si="70"/>
        <v/>
      </c>
      <c r="F1360" s="19"/>
      <c r="G1360" s="19"/>
      <c r="H1360" s="19"/>
      <c r="I1360" s="19"/>
      <c r="J1360" s="19"/>
      <c r="K1360" s="233"/>
      <c r="L1360" s="19"/>
    </row>
    <row r="1361" spans="1:12" ht="12" customHeight="1">
      <c r="A1361" s="219" t="str" cm="1">
        <f t="array" ref="A1361">IFERROR(INDEX('03.Muestra'!$B$8:$B$42,SMALL(IF("Página Web"='03.Muestra'!$D$8:$D$42,ROW('03.Muestra'!$B$8:$B$42)-MIN(ROW('03.Muestra'!$D$8:$D$42))+1,""),ROW()-1348)),"")</f>
        <v/>
      </c>
      <c r="B1361" s="114" t="str" cm="1">
        <f t="array" ref="B1361">IFERROR(INDEX('03.Muestra'!$C$8:$C$42,SMALL(IF("Página Web"='03.Muestra'!$D$8:$D$42,ROW('03.Muestra'!$C$8:$C$42)-MIN(ROW('03.Muestra'!$D$8:$D$42))+1,""),ROW()-1348)),"")</f>
        <v/>
      </c>
      <c r="C1361" s="114" t="str" cm="1">
        <f t="array" ref="C1361">IFERROR(INDEX('03.Muestra'!$F$8:$F$42,SMALL(IF("Página Web"='03.Muestra'!$D$8:$D$42,ROW('03.Muestra'!$F$8:$F$42)-MIN(ROW('03.Muestra'!$D$8:$D$42))+1,""),ROW()-1348)),"")</f>
        <v/>
      </c>
      <c r="D1361" s="130" t="str">
        <f t="shared" si="71"/>
        <v/>
      </c>
      <c r="E1361" s="107" t="str">
        <f t="shared" si="70"/>
        <v/>
      </c>
      <c r="F1361" s="19"/>
      <c r="G1361" s="19"/>
      <c r="H1361" s="19"/>
      <c r="I1361" s="19"/>
      <c r="J1361" s="19"/>
      <c r="K1361" s="233"/>
      <c r="L1361" s="19"/>
    </row>
    <row r="1362" spans="1:12" ht="12" customHeight="1">
      <c r="A1362" s="219" t="str" cm="1">
        <f t="array" ref="A1362">IFERROR(INDEX('03.Muestra'!$B$8:$B$42,SMALL(IF("Página Web"='03.Muestra'!$D$8:$D$42,ROW('03.Muestra'!$B$8:$B$42)-MIN(ROW('03.Muestra'!$D$8:$D$42))+1,""),ROW()-1348)),"")</f>
        <v/>
      </c>
      <c r="B1362" s="114" t="str" cm="1">
        <f t="array" ref="B1362">IFERROR(INDEX('03.Muestra'!$C$8:$C$42,SMALL(IF("Página Web"='03.Muestra'!$D$8:$D$42,ROW('03.Muestra'!$C$8:$C$42)-MIN(ROW('03.Muestra'!$D$8:$D$42))+1,""),ROW()-1348)),"")</f>
        <v/>
      </c>
      <c r="C1362" s="114" t="str" cm="1">
        <f t="array" ref="C1362">IFERROR(INDEX('03.Muestra'!$F$8:$F$42,SMALL(IF("Página Web"='03.Muestra'!$D$8:$D$42,ROW('03.Muestra'!$F$8:$F$42)-MIN(ROW('03.Muestra'!$D$8:$D$42))+1,""),ROW()-1348)),"")</f>
        <v/>
      </c>
      <c r="D1362" s="130" t="str">
        <f t="shared" si="71"/>
        <v/>
      </c>
      <c r="E1362" s="107" t="str">
        <f t="shared" si="70"/>
        <v/>
      </c>
      <c r="F1362" s="19"/>
      <c r="G1362" s="19"/>
      <c r="H1362" s="19"/>
      <c r="I1362" s="19"/>
      <c r="J1362" s="19"/>
      <c r="K1362" s="233"/>
      <c r="L1362" s="19"/>
    </row>
    <row r="1363" spans="1:12" ht="12" customHeight="1">
      <c r="A1363" s="219" t="str" cm="1">
        <f t="array" ref="A1363">IFERROR(INDEX('03.Muestra'!$B$8:$B$42,SMALL(IF("Página Web"='03.Muestra'!$D$8:$D$42,ROW('03.Muestra'!$B$8:$B$42)-MIN(ROW('03.Muestra'!$D$8:$D$42))+1,""),ROW()-1348)),"")</f>
        <v/>
      </c>
      <c r="B1363" s="114" t="str" cm="1">
        <f t="array" ref="B1363">IFERROR(INDEX('03.Muestra'!$C$8:$C$42,SMALL(IF("Página Web"='03.Muestra'!$D$8:$D$42,ROW('03.Muestra'!$C$8:$C$42)-MIN(ROW('03.Muestra'!$D$8:$D$42))+1,""),ROW()-1348)),"")</f>
        <v/>
      </c>
      <c r="C1363" s="114" t="str" cm="1">
        <f t="array" ref="C1363">IFERROR(INDEX('03.Muestra'!$F$8:$F$42,SMALL(IF("Página Web"='03.Muestra'!$D$8:$D$42,ROW('03.Muestra'!$F$8:$F$42)-MIN(ROW('03.Muestra'!$D$8:$D$42))+1,""),ROW()-1348)),"")</f>
        <v/>
      </c>
      <c r="D1363" s="130" t="str">
        <f t="shared" si="71"/>
        <v/>
      </c>
      <c r="E1363" s="107" t="str">
        <f t="shared" si="70"/>
        <v/>
      </c>
      <c r="F1363" s="19"/>
      <c r="G1363" s="19"/>
      <c r="H1363" s="19"/>
      <c r="I1363" s="19"/>
      <c r="J1363" s="19"/>
      <c r="K1363" s="233"/>
      <c r="L1363" s="19"/>
    </row>
    <row r="1364" spans="1:12" ht="12" customHeight="1">
      <c r="A1364" s="219" t="str" cm="1">
        <f t="array" ref="A1364">IFERROR(INDEX('03.Muestra'!$B$8:$B$42,SMALL(IF("Página Web"='03.Muestra'!$D$8:$D$42,ROW('03.Muestra'!$B$8:$B$42)-MIN(ROW('03.Muestra'!$D$8:$D$42))+1,""),ROW()-1348)),"")</f>
        <v/>
      </c>
      <c r="B1364" s="114" t="str" cm="1">
        <f t="array" ref="B1364">IFERROR(INDEX('03.Muestra'!$C$8:$C$42,SMALL(IF("Página Web"='03.Muestra'!$D$8:$D$42,ROW('03.Muestra'!$C$8:$C$42)-MIN(ROW('03.Muestra'!$D$8:$D$42))+1,""),ROW()-1348)),"")</f>
        <v/>
      </c>
      <c r="C1364" s="114" t="str" cm="1">
        <f t="array" ref="C1364">IFERROR(INDEX('03.Muestra'!$F$8:$F$42,SMALL(IF("Página Web"='03.Muestra'!$D$8:$D$42,ROW('03.Muestra'!$F$8:$F$42)-MIN(ROW('03.Muestra'!$D$8:$D$42))+1,""),ROW()-1348)),"")</f>
        <v/>
      </c>
      <c r="D1364" s="130" t="str">
        <f t="shared" si="71"/>
        <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si="71"/>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http://www.madrid.org/presupuestos</v>
      </c>
      <c r="D1387" s="130" t="s">
        <v>28</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Menu 1</v>
      </c>
      <c r="C1388" s="114" t="str" cm="1">
        <f t="array" ref="C1388">IFERROR(INDEX('03.Muestra'!$F$8:$F$42,SMALL(IF("Página Web"='03.Muestra'!$D$8:$D$42,ROW('03.Muestra'!$F$8:$F$42)-MIN(ROW('03.Muestra'!$D$8:$D$42))+1,""),ROW()-1386)),"")</f>
        <v>http://www.madrid.org/presupuestos/index.php/presupuestos-generales/presupuestos-cm/2022</v>
      </c>
      <c r="D1388" s="130" t="s">
        <v>28</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5</v>
      </c>
      <c r="J1388" s="120">
        <f ca="1">COUNTIF($D1387:INDIRECT("$D" &amp;  SUM(ROW()-1,'03.Muestra'!$D$45)-1),J1387)</f>
        <v>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Menu 2</v>
      </c>
      <c r="C1389" s="114" t="str" cm="1">
        <f t="array" ref="C1389">IFERROR(INDEX('03.Muestra'!$F$8:$F$42,SMALL(IF("Página Web"='03.Muestra'!$D$8:$D$42,ROW('03.Muestra'!$F$8:$F$42)-MIN(ROW('03.Muestra'!$D$8:$D$42))+1,""),ROW()-1386)),"")</f>
        <v>http://www.madrid.org/presupuestos/index.php/ejecucion-presupuestaria</v>
      </c>
      <c r="D1389" s="130" t="s">
        <v>28</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Menu 3</v>
      </c>
      <c r="C1390" s="114" t="str" cm="1">
        <f t="array" ref="C1390">IFERROR(INDEX('03.Muestra'!$F$8:$F$42,SMALL(IF("Página Web"='03.Muestra'!$D$8:$D$42,ROW('03.Muestra'!$F$8:$F$42)-MIN(ROW('03.Muestra'!$D$8:$D$42))+1,""),ROW()-1386)),"")</f>
        <v>http://www.madrid.org/presupuestos/index.php/transparencia</v>
      </c>
      <c r="D1390" s="130" t="s">
        <v>28</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Accesibilidad</v>
      </c>
      <c r="C1391" s="114" t="str" cm="1">
        <f t="array" ref="C1391">IFERROR(INDEX('03.Muestra'!$F$8:$F$42,SMALL(IF("Página Web"='03.Muestra'!$D$8:$D$42,ROW('03.Muestra'!$F$8:$F$42)-MIN(ROW('03.Muestra'!$D$8:$D$42))+1,""),ROW()-1386)),"")</f>
        <v>http://www.madrid.org/presupuestos/index.php/accesibilidad-web</v>
      </c>
      <c r="D1391" s="130" t="s">
        <v>28</v>
      </c>
      <c r="E1391" s="107" t="str">
        <f t="shared" si="72"/>
        <v/>
      </c>
      <c r="F1391" s="122"/>
      <c r="G1391" s="19"/>
      <c r="H1391" s="19"/>
      <c r="I1391" s="19"/>
      <c r="K1391" s="234"/>
      <c r="L1391" s="19"/>
    </row>
    <row r="1392" spans="1:12" ht="12" customHeight="1">
      <c r="A1392" s="219" t="str" cm="1">
        <f t="array" ref="A1392">IFERROR(INDEX('03.Muestra'!$B$8:$B$42,SMALL(IF("Página Web"='03.Muestra'!$D$8:$D$42,ROW('03.Muestra'!$B$8:$B$42)-MIN(ROW('03.Muestra'!$D$8:$D$42))+1,""),ROW()-1386)),"")</f>
        <v/>
      </c>
      <c r="B1392" s="114" t="str" cm="1">
        <f t="array" ref="B1392">IFERROR(INDEX('03.Muestra'!$C$8:$C$42,SMALL(IF("Página Web"='03.Muestra'!$D$8:$D$42,ROW('03.Muestra'!$C$8:$C$42)-MIN(ROW('03.Muestra'!$D$8:$D$42))+1,""),ROW()-1386)),"")</f>
        <v/>
      </c>
      <c r="C1392" s="114" t="str" cm="1">
        <f t="array" ref="C1392">IFERROR(INDEX('03.Muestra'!$F$8:$F$42,SMALL(IF("Página Web"='03.Muestra'!$D$8:$D$42,ROW('03.Muestra'!$F$8:$F$42)-MIN(ROW('03.Muestra'!$D$8:$D$42))+1,""),ROW()-1386)),"")</f>
        <v/>
      </c>
      <c r="D1392" s="130" t="str">
        <f t="shared" ref="D1392:D1421" si="73">IF(AND(B1392&lt;&gt;"",C1392&lt;&gt;""),"N/T","")</f>
        <v/>
      </c>
      <c r="E1392" s="107" t="str">
        <f t="shared" si="72"/>
        <v/>
      </c>
      <c r="F1392" s="19"/>
      <c r="G1392" s="19"/>
      <c r="H1392" s="19"/>
      <c r="I1392" s="19"/>
      <c r="K1392" s="234"/>
      <c r="L1392" s="19"/>
    </row>
    <row r="1393" spans="1:12" ht="12" customHeight="1">
      <c r="A1393" s="219" t="str" cm="1">
        <f t="array" ref="A1393">IFERROR(INDEX('03.Muestra'!$B$8:$B$42,SMALL(IF("Página Web"='03.Muestra'!$D$8:$D$42,ROW('03.Muestra'!$B$8:$B$42)-MIN(ROW('03.Muestra'!$D$8:$D$42))+1,""),ROW()-1386)),"")</f>
        <v/>
      </c>
      <c r="B1393" s="114" t="str" cm="1">
        <f t="array" ref="B1393">IFERROR(INDEX('03.Muestra'!$C$8:$C$42,SMALL(IF("Página Web"='03.Muestra'!$D$8:$D$42,ROW('03.Muestra'!$C$8:$C$42)-MIN(ROW('03.Muestra'!$D$8:$D$42))+1,""),ROW()-1386)),"")</f>
        <v/>
      </c>
      <c r="C1393" s="114" t="str" cm="1">
        <f t="array" ref="C1393">IFERROR(INDEX('03.Muestra'!$F$8:$F$42,SMALL(IF("Página Web"='03.Muestra'!$D$8:$D$42,ROW('03.Muestra'!$F$8:$F$42)-MIN(ROW('03.Muestra'!$D$8:$D$42))+1,""),ROW()-1386)),"")</f>
        <v/>
      </c>
      <c r="D1393" s="130" t="str">
        <f t="shared" si="73"/>
        <v/>
      </c>
      <c r="E1393" s="107" t="str">
        <f t="shared" si="72"/>
        <v/>
      </c>
      <c r="F1393" s="19"/>
      <c r="G1393" s="19"/>
      <c r="H1393" s="19"/>
      <c r="I1393" s="19"/>
      <c r="K1393" s="234"/>
      <c r="L1393" s="19"/>
    </row>
    <row r="1394" spans="1:12" ht="12" customHeight="1">
      <c r="A1394" s="219" t="str" cm="1">
        <f t="array" ref="A1394">IFERROR(INDEX('03.Muestra'!$B$8:$B$42,SMALL(IF("Página Web"='03.Muestra'!$D$8:$D$42,ROW('03.Muestra'!$B$8:$B$42)-MIN(ROW('03.Muestra'!$D$8:$D$42))+1,""),ROW()-1386)),"")</f>
        <v/>
      </c>
      <c r="B1394" s="114" t="str" cm="1">
        <f t="array" ref="B1394">IFERROR(INDEX('03.Muestra'!$C$8:$C$42,SMALL(IF("Página Web"='03.Muestra'!$D$8:$D$42,ROW('03.Muestra'!$C$8:$C$42)-MIN(ROW('03.Muestra'!$D$8:$D$42))+1,""),ROW()-1386)),"")</f>
        <v/>
      </c>
      <c r="C1394" s="114" t="str" cm="1">
        <f t="array" ref="C1394">IFERROR(INDEX('03.Muestra'!$F$8:$F$42,SMALL(IF("Página Web"='03.Muestra'!$D$8:$D$42,ROW('03.Muestra'!$F$8:$F$42)-MIN(ROW('03.Muestra'!$D$8:$D$42))+1,""),ROW()-1386)),"")</f>
        <v/>
      </c>
      <c r="D1394" s="130" t="str">
        <f t="shared" si="73"/>
        <v/>
      </c>
      <c r="E1394" s="107" t="str">
        <f t="shared" si="72"/>
        <v/>
      </c>
      <c r="F1394" s="19"/>
      <c r="G1394" s="19"/>
      <c r="H1394" s="19"/>
      <c r="I1394" s="19"/>
      <c r="J1394" s="19"/>
      <c r="K1394" s="233"/>
      <c r="L1394" s="19"/>
    </row>
    <row r="1395" spans="1:12" ht="12" customHeight="1">
      <c r="A1395" s="219" t="str" cm="1">
        <f t="array" ref="A1395">IFERROR(INDEX('03.Muestra'!$B$8:$B$42,SMALL(IF("Página Web"='03.Muestra'!$D$8:$D$42,ROW('03.Muestra'!$B$8:$B$42)-MIN(ROW('03.Muestra'!$D$8:$D$42))+1,""),ROW()-1386)),"")</f>
        <v/>
      </c>
      <c r="B1395" s="114" t="str" cm="1">
        <f t="array" ref="B1395">IFERROR(INDEX('03.Muestra'!$C$8:$C$42,SMALL(IF("Página Web"='03.Muestra'!$D$8:$D$42,ROW('03.Muestra'!$C$8:$C$42)-MIN(ROW('03.Muestra'!$D$8:$D$42))+1,""),ROW()-1386)),"")</f>
        <v/>
      </c>
      <c r="C1395" s="114" t="str" cm="1">
        <f t="array" ref="C1395">IFERROR(INDEX('03.Muestra'!$F$8:$F$42,SMALL(IF("Página Web"='03.Muestra'!$D$8:$D$42,ROW('03.Muestra'!$F$8:$F$42)-MIN(ROW('03.Muestra'!$D$8:$D$42))+1,""),ROW()-1386)),"")</f>
        <v/>
      </c>
      <c r="D1395" s="130" t="str">
        <f t="shared" si="73"/>
        <v/>
      </c>
      <c r="E1395" s="107" t="str">
        <f t="shared" si="72"/>
        <v/>
      </c>
      <c r="F1395" s="19"/>
      <c r="G1395" s="19"/>
      <c r="H1395" s="19"/>
      <c r="I1395" s="19"/>
      <c r="J1395" s="19"/>
      <c r="K1395" s="233"/>
      <c r="L1395" s="19"/>
    </row>
    <row r="1396" spans="1:12" ht="12" customHeight="1">
      <c r="A1396" s="219" t="str" cm="1">
        <f t="array" ref="A1396">IFERROR(INDEX('03.Muestra'!$B$8:$B$42,SMALL(IF("Página Web"='03.Muestra'!$D$8:$D$42,ROW('03.Muestra'!$B$8:$B$42)-MIN(ROW('03.Muestra'!$D$8:$D$42))+1,""),ROW()-1386)),"")</f>
        <v/>
      </c>
      <c r="B1396" s="114" t="str" cm="1">
        <f t="array" ref="B1396">IFERROR(INDEX('03.Muestra'!$C$8:$C$42,SMALL(IF("Página Web"='03.Muestra'!$D$8:$D$42,ROW('03.Muestra'!$C$8:$C$42)-MIN(ROW('03.Muestra'!$D$8:$D$42))+1,""),ROW()-1386)),"")</f>
        <v/>
      </c>
      <c r="C1396" s="114" t="str" cm="1">
        <f t="array" ref="C1396">IFERROR(INDEX('03.Muestra'!$F$8:$F$42,SMALL(IF("Página Web"='03.Muestra'!$D$8:$D$42,ROW('03.Muestra'!$F$8:$F$42)-MIN(ROW('03.Muestra'!$D$8:$D$42))+1,""),ROW()-1386)),"")</f>
        <v/>
      </c>
      <c r="D1396" s="130" t="str">
        <f t="shared" si="73"/>
        <v/>
      </c>
      <c r="E1396" s="107" t="str">
        <f t="shared" si="72"/>
        <v/>
      </c>
      <c r="F1396" s="19"/>
      <c r="G1396" s="19"/>
      <c r="H1396" s="19"/>
      <c r="I1396" s="19"/>
      <c r="J1396" s="19"/>
      <c r="K1396" s="233"/>
      <c r="L1396" s="19"/>
    </row>
    <row r="1397" spans="1:12" ht="12" customHeight="1">
      <c r="A1397" s="219" t="str" cm="1">
        <f t="array" ref="A1397">IFERROR(INDEX('03.Muestra'!$B$8:$B$42,SMALL(IF("Página Web"='03.Muestra'!$D$8:$D$42,ROW('03.Muestra'!$B$8:$B$42)-MIN(ROW('03.Muestra'!$D$8:$D$42))+1,""),ROW()-1386)),"")</f>
        <v/>
      </c>
      <c r="B1397" s="114" t="str" cm="1">
        <f t="array" ref="B1397">IFERROR(INDEX('03.Muestra'!$C$8:$C$42,SMALL(IF("Página Web"='03.Muestra'!$D$8:$D$42,ROW('03.Muestra'!$C$8:$C$42)-MIN(ROW('03.Muestra'!$D$8:$D$42))+1,""),ROW()-1386)),"")</f>
        <v/>
      </c>
      <c r="C1397" s="114" t="str" cm="1">
        <f t="array" ref="C1397">IFERROR(INDEX('03.Muestra'!$F$8:$F$42,SMALL(IF("Página Web"='03.Muestra'!$D$8:$D$42,ROW('03.Muestra'!$F$8:$F$42)-MIN(ROW('03.Muestra'!$D$8:$D$42))+1,""),ROW()-1386)),"")</f>
        <v/>
      </c>
      <c r="D1397" s="130" t="str">
        <f t="shared" si="73"/>
        <v/>
      </c>
      <c r="E1397" s="107" t="str">
        <f t="shared" si="72"/>
        <v/>
      </c>
      <c r="F1397" s="19"/>
      <c r="G1397" s="19"/>
      <c r="H1397" s="19"/>
      <c r="I1397" s="19"/>
      <c r="J1397" s="19"/>
      <c r="K1397" s="233"/>
      <c r="L1397" s="19"/>
    </row>
    <row r="1398" spans="1:12" ht="12" customHeight="1">
      <c r="A1398" s="219" t="str" cm="1">
        <f t="array" ref="A1398">IFERROR(INDEX('03.Muestra'!$B$8:$B$42,SMALL(IF("Página Web"='03.Muestra'!$D$8:$D$42,ROW('03.Muestra'!$B$8:$B$42)-MIN(ROW('03.Muestra'!$D$8:$D$42))+1,""),ROW()-1386)),"")</f>
        <v/>
      </c>
      <c r="B1398" s="114" t="str" cm="1">
        <f t="array" ref="B1398">IFERROR(INDEX('03.Muestra'!$C$8:$C$42,SMALL(IF("Página Web"='03.Muestra'!$D$8:$D$42,ROW('03.Muestra'!$C$8:$C$42)-MIN(ROW('03.Muestra'!$D$8:$D$42))+1,""),ROW()-1386)),"")</f>
        <v/>
      </c>
      <c r="C1398" s="114" t="str" cm="1">
        <f t="array" ref="C1398">IFERROR(INDEX('03.Muestra'!$F$8:$F$42,SMALL(IF("Página Web"='03.Muestra'!$D$8:$D$42,ROW('03.Muestra'!$F$8:$F$42)-MIN(ROW('03.Muestra'!$D$8:$D$42))+1,""),ROW()-1386)),"")</f>
        <v/>
      </c>
      <c r="D1398" s="130" t="str">
        <f t="shared" si="73"/>
        <v/>
      </c>
      <c r="E1398" s="107" t="str">
        <f t="shared" si="72"/>
        <v/>
      </c>
      <c r="F1398" s="19"/>
      <c r="G1398" s="19"/>
      <c r="H1398" s="19"/>
      <c r="I1398" s="19"/>
      <c r="J1398" s="19"/>
      <c r="K1398" s="233"/>
      <c r="L1398" s="19"/>
    </row>
    <row r="1399" spans="1:12" ht="12" customHeight="1">
      <c r="A1399" s="219" t="str" cm="1">
        <f t="array" ref="A1399">IFERROR(INDEX('03.Muestra'!$B$8:$B$42,SMALL(IF("Página Web"='03.Muestra'!$D$8:$D$42,ROW('03.Muestra'!$B$8:$B$42)-MIN(ROW('03.Muestra'!$D$8:$D$42))+1,""),ROW()-1386)),"")</f>
        <v/>
      </c>
      <c r="B1399" s="114" t="str" cm="1">
        <f t="array" ref="B1399">IFERROR(INDEX('03.Muestra'!$C$8:$C$42,SMALL(IF("Página Web"='03.Muestra'!$D$8:$D$42,ROW('03.Muestra'!$C$8:$C$42)-MIN(ROW('03.Muestra'!$D$8:$D$42))+1,""),ROW()-1386)),"")</f>
        <v/>
      </c>
      <c r="C1399" s="114" t="str" cm="1">
        <f t="array" ref="C1399">IFERROR(INDEX('03.Muestra'!$F$8:$F$42,SMALL(IF("Página Web"='03.Muestra'!$D$8:$D$42,ROW('03.Muestra'!$F$8:$F$42)-MIN(ROW('03.Muestra'!$D$8:$D$42))+1,""),ROW()-1386)),"")</f>
        <v/>
      </c>
      <c r="D1399" s="130" t="str">
        <f t="shared" si="73"/>
        <v/>
      </c>
      <c r="E1399" s="107" t="str">
        <f t="shared" si="72"/>
        <v/>
      </c>
      <c r="F1399" s="19"/>
      <c r="G1399" s="19"/>
      <c r="H1399" s="19"/>
      <c r="I1399" s="19"/>
      <c r="J1399" s="19"/>
      <c r="K1399" s="233"/>
      <c r="L1399" s="19"/>
    </row>
    <row r="1400" spans="1:12" ht="12" customHeight="1">
      <c r="A1400" s="219" t="str" cm="1">
        <f t="array" ref="A1400">IFERROR(INDEX('03.Muestra'!$B$8:$B$42,SMALL(IF("Página Web"='03.Muestra'!$D$8:$D$42,ROW('03.Muestra'!$B$8:$B$42)-MIN(ROW('03.Muestra'!$D$8:$D$42))+1,""),ROW()-1386)),"")</f>
        <v/>
      </c>
      <c r="B1400" s="114" t="str" cm="1">
        <f t="array" ref="B1400">IFERROR(INDEX('03.Muestra'!$C$8:$C$42,SMALL(IF("Página Web"='03.Muestra'!$D$8:$D$42,ROW('03.Muestra'!$C$8:$C$42)-MIN(ROW('03.Muestra'!$D$8:$D$42))+1,""),ROW()-1386)),"")</f>
        <v/>
      </c>
      <c r="C1400" s="114" t="str" cm="1">
        <f t="array" ref="C1400">IFERROR(INDEX('03.Muestra'!$F$8:$F$42,SMALL(IF("Página Web"='03.Muestra'!$D$8:$D$42,ROW('03.Muestra'!$F$8:$F$42)-MIN(ROW('03.Muestra'!$D$8:$D$42))+1,""),ROW()-1386)),"")</f>
        <v/>
      </c>
      <c r="D1400" s="130" t="str">
        <f t="shared" si="73"/>
        <v/>
      </c>
      <c r="E1400" s="107" t="str">
        <f t="shared" si="72"/>
        <v/>
      </c>
      <c r="F1400" s="19"/>
      <c r="G1400" s="19"/>
      <c r="H1400" s="19"/>
      <c r="I1400" s="19"/>
      <c r="J1400" s="19"/>
      <c r="K1400" s="233"/>
      <c r="L1400" s="19"/>
    </row>
    <row r="1401" spans="1:12" ht="12" customHeight="1">
      <c r="A1401" s="219" t="str" cm="1">
        <f t="array" ref="A1401">IFERROR(INDEX('03.Muestra'!$B$8:$B$42,SMALL(IF("Página Web"='03.Muestra'!$D$8:$D$42,ROW('03.Muestra'!$B$8:$B$42)-MIN(ROW('03.Muestra'!$D$8:$D$42))+1,""),ROW()-1386)),"")</f>
        <v/>
      </c>
      <c r="B1401" s="114" t="str" cm="1">
        <f t="array" ref="B1401">IFERROR(INDEX('03.Muestra'!$C$8:$C$42,SMALL(IF("Página Web"='03.Muestra'!$D$8:$D$42,ROW('03.Muestra'!$C$8:$C$42)-MIN(ROW('03.Muestra'!$D$8:$D$42))+1,""),ROW()-1386)),"")</f>
        <v/>
      </c>
      <c r="C1401" s="114" t="str" cm="1">
        <f t="array" ref="C1401">IFERROR(INDEX('03.Muestra'!$F$8:$F$42,SMALL(IF("Página Web"='03.Muestra'!$D$8:$D$42,ROW('03.Muestra'!$F$8:$F$42)-MIN(ROW('03.Muestra'!$D$8:$D$42))+1,""),ROW()-1386)),"")</f>
        <v/>
      </c>
      <c r="D1401" s="130" t="str">
        <f t="shared" si="73"/>
        <v/>
      </c>
      <c r="E1401" s="107" t="str">
        <f t="shared" si="72"/>
        <v/>
      </c>
      <c r="F1401" s="19"/>
      <c r="G1401" s="19"/>
      <c r="H1401" s="19"/>
      <c r="I1401" s="19"/>
      <c r="J1401" s="19"/>
      <c r="K1401" s="233"/>
      <c r="L1401" s="19"/>
    </row>
    <row r="1402" spans="1:12" ht="12" customHeight="1">
      <c r="A1402" s="219" t="str" cm="1">
        <f t="array" ref="A1402">IFERROR(INDEX('03.Muestra'!$B$8:$B$42,SMALL(IF("Página Web"='03.Muestra'!$D$8:$D$42,ROW('03.Muestra'!$B$8:$B$42)-MIN(ROW('03.Muestra'!$D$8:$D$42))+1,""),ROW()-1386)),"")</f>
        <v/>
      </c>
      <c r="B1402" s="114" t="str" cm="1">
        <f t="array" ref="B1402">IFERROR(INDEX('03.Muestra'!$C$8:$C$42,SMALL(IF("Página Web"='03.Muestra'!$D$8:$D$42,ROW('03.Muestra'!$C$8:$C$42)-MIN(ROW('03.Muestra'!$D$8:$D$42))+1,""),ROW()-1386)),"")</f>
        <v/>
      </c>
      <c r="C1402" s="114" t="str" cm="1">
        <f t="array" ref="C1402">IFERROR(INDEX('03.Muestra'!$F$8:$F$42,SMALL(IF("Página Web"='03.Muestra'!$D$8:$D$42,ROW('03.Muestra'!$F$8:$F$42)-MIN(ROW('03.Muestra'!$D$8:$D$42))+1,""),ROW()-1386)),"")</f>
        <v/>
      </c>
      <c r="D1402" s="130" t="str">
        <f t="shared" si="73"/>
        <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si="73"/>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http://www.madrid.org/presupuestos</v>
      </c>
      <c r="D1425" s="130" t="s">
        <v>28</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Menu 1</v>
      </c>
      <c r="C1426" s="114" t="str" cm="1">
        <f t="array" ref="C1426">IFERROR(INDEX('03.Muestra'!$F$8:$F$42,SMALL(IF("Página Web"='03.Muestra'!$D$8:$D$42,ROW('03.Muestra'!$F$8:$F$42)-MIN(ROW('03.Muestra'!$D$8:$D$42))+1,""),ROW()-1424)),"")</f>
        <v>http://www.madrid.org/presupuestos/index.php/presupuestos-generales/presupuestos-cm/2022</v>
      </c>
      <c r="D1426" s="130" t="s">
        <v>28</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5</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Menu 2</v>
      </c>
      <c r="C1427" s="114" t="str" cm="1">
        <f t="array" ref="C1427">IFERROR(INDEX('03.Muestra'!$F$8:$F$42,SMALL(IF("Página Web"='03.Muestra'!$D$8:$D$42,ROW('03.Muestra'!$F$8:$F$42)-MIN(ROW('03.Muestra'!$D$8:$D$42))+1,""),ROW()-1424)),"")</f>
        <v>http://www.madrid.org/presupuestos/index.php/ejecucion-presupuestaria</v>
      </c>
      <c r="D1427" s="130" t="s">
        <v>28</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Menu 3</v>
      </c>
      <c r="C1428" s="114" t="str" cm="1">
        <f t="array" ref="C1428">IFERROR(INDEX('03.Muestra'!$F$8:$F$42,SMALL(IF("Página Web"='03.Muestra'!$D$8:$D$42,ROW('03.Muestra'!$F$8:$F$42)-MIN(ROW('03.Muestra'!$D$8:$D$42))+1,""),ROW()-1424)),"")</f>
        <v>http://www.madrid.org/presupuestos/index.php/transparencia</v>
      </c>
      <c r="D1428" s="130" t="s">
        <v>28</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Accesibilidad</v>
      </c>
      <c r="C1429" s="114" t="str" cm="1">
        <f t="array" ref="C1429">IFERROR(INDEX('03.Muestra'!$F$8:$F$42,SMALL(IF("Página Web"='03.Muestra'!$D$8:$D$42,ROW('03.Muestra'!$F$8:$F$42)-MIN(ROW('03.Muestra'!$D$8:$D$42))+1,""),ROW()-1424)),"")</f>
        <v>http://www.madrid.org/presupuestos/index.php/accesibilidad-web</v>
      </c>
      <c r="D1429" s="130" t="s">
        <v>28</v>
      </c>
      <c r="E1429" s="107" t="str">
        <f t="shared" si="74"/>
        <v/>
      </c>
      <c r="G1429" s="19"/>
      <c r="H1429" s="19"/>
      <c r="I1429" s="19"/>
      <c r="J1429" s="19"/>
      <c r="K1429" s="233"/>
      <c r="L1429" s="19"/>
    </row>
    <row r="1430" spans="1:12" ht="12" customHeight="1">
      <c r="A1430" s="219" t="str" cm="1">
        <f t="array" ref="A1430">IFERROR(INDEX('03.Muestra'!$B$8:$B$42,SMALL(IF("Página Web"='03.Muestra'!$D$8:$D$42,ROW('03.Muestra'!$B$8:$B$42)-MIN(ROW('03.Muestra'!$D$8:$D$42))+1,""),ROW()-1424)),"")</f>
        <v/>
      </c>
      <c r="B1430" s="114" t="str" cm="1">
        <f t="array" ref="B1430">IFERROR(INDEX('03.Muestra'!$C$8:$C$42,SMALL(IF("Página Web"='03.Muestra'!$D$8:$D$42,ROW('03.Muestra'!$C$8:$C$42)-MIN(ROW('03.Muestra'!$D$8:$D$42))+1,""),ROW()-1424)),"")</f>
        <v/>
      </c>
      <c r="C1430" s="114" t="str" cm="1">
        <f t="array" ref="C1430">IFERROR(INDEX('03.Muestra'!$F$8:$F$42,SMALL(IF("Página Web"='03.Muestra'!$D$8:$D$42,ROW('03.Muestra'!$F$8:$F$42)-MIN(ROW('03.Muestra'!$D$8:$D$42))+1,""),ROW()-1424)),"")</f>
        <v/>
      </c>
      <c r="D1430" s="130" t="str">
        <f t="shared" ref="D1430:D1459" si="75">IF(AND(B1430&lt;&gt;"",C1430&lt;&gt;""),"N/T","")</f>
        <v/>
      </c>
      <c r="E1430" s="107" t="str">
        <f t="shared" si="74"/>
        <v/>
      </c>
      <c r="G1430" s="19"/>
      <c r="H1430" s="19"/>
      <c r="I1430" s="19"/>
      <c r="J1430" s="19"/>
      <c r="K1430" s="233"/>
      <c r="L1430" s="19"/>
    </row>
    <row r="1431" spans="1:12" ht="12" customHeight="1">
      <c r="A1431" s="219" t="str" cm="1">
        <f t="array" ref="A1431">IFERROR(INDEX('03.Muestra'!$B$8:$B$42,SMALL(IF("Página Web"='03.Muestra'!$D$8:$D$42,ROW('03.Muestra'!$B$8:$B$42)-MIN(ROW('03.Muestra'!$D$8:$D$42))+1,""),ROW()-1424)),"")</f>
        <v/>
      </c>
      <c r="B1431" s="114" t="str" cm="1">
        <f t="array" ref="B1431">IFERROR(INDEX('03.Muestra'!$C$8:$C$42,SMALL(IF("Página Web"='03.Muestra'!$D$8:$D$42,ROW('03.Muestra'!$C$8:$C$42)-MIN(ROW('03.Muestra'!$D$8:$D$42))+1,""),ROW()-1424)),"")</f>
        <v/>
      </c>
      <c r="C1431" s="114" t="str" cm="1">
        <f t="array" ref="C1431">IFERROR(INDEX('03.Muestra'!$F$8:$F$42,SMALL(IF("Página Web"='03.Muestra'!$D$8:$D$42,ROW('03.Muestra'!$F$8:$F$42)-MIN(ROW('03.Muestra'!$D$8:$D$42))+1,""),ROW()-1424)),"")</f>
        <v/>
      </c>
      <c r="D1431" s="130" t="str">
        <f t="shared" si="75"/>
        <v/>
      </c>
      <c r="E1431" s="107" t="str">
        <f t="shared" si="74"/>
        <v/>
      </c>
      <c r="F1431" s="19"/>
      <c r="G1431" s="19"/>
      <c r="H1431" s="19"/>
      <c r="I1431" s="19"/>
      <c r="J1431" s="19"/>
      <c r="K1431" s="233"/>
      <c r="L1431" s="19"/>
    </row>
    <row r="1432" spans="1:12" ht="12" customHeight="1">
      <c r="A1432" s="219" t="str" cm="1">
        <f t="array" ref="A1432">IFERROR(INDEX('03.Muestra'!$B$8:$B$42,SMALL(IF("Página Web"='03.Muestra'!$D$8:$D$42,ROW('03.Muestra'!$B$8:$B$42)-MIN(ROW('03.Muestra'!$D$8:$D$42))+1,""),ROW()-1424)),"")</f>
        <v/>
      </c>
      <c r="B1432" s="114" t="str" cm="1">
        <f t="array" ref="B1432">IFERROR(INDEX('03.Muestra'!$C$8:$C$42,SMALL(IF("Página Web"='03.Muestra'!$D$8:$D$42,ROW('03.Muestra'!$C$8:$C$42)-MIN(ROW('03.Muestra'!$D$8:$D$42))+1,""),ROW()-1424)),"")</f>
        <v/>
      </c>
      <c r="C1432" s="114" t="str" cm="1">
        <f t="array" ref="C1432">IFERROR(INDEX('03.Muestra'!$F$8:$F$42,SMALL(IF("Página Web"='03.Muestra'!$D$8:$D$42,ROW('03.Muestra'!$F$8:$F$42)-MIN(ROW('03.Muestra'!$D$8:$D$42))+1,""),ROW()-1424)),"")</f>
        <v/>
      </c>
      <c r="D1432" s="130" t="str">
        <f t="shared" si="75"/>
        <v/>
      </c>
      <c r="E1432" s="107" t="str">
        <f t="shared" si="74"/>
        <v/>
      </c>
      <c r="F1432" s="19"/>
      <c r="G1432" s="19"/>
      <c r="H1432" s="19"/>
      <c r="I1432" s="19"/>
      <c r="J1432" s="19"/>
      <c r="K1432" s="233"/>
      <c r="L1432" s="19"/>
    </row>
    <row r="1433" spans="1:12" ht="12" customHeight="1">
      <c r="A1433" s="219" t="str" cm="1">
        <f t="array" ref="A1433">IFERROR(INDEX('03.Muestra'!$B$8:$B$42,SMALL(IF("Página Web"='03.Muestra'!$D$8:$D$42,ROW('03.Muestra'!$B$8:$B$42)-MIN(ROW('03.Muestra'!$D$8:$D$42))+1,""),ROW()-1424)),"")</f>
        <v/>
      </c>
      <c r="B1433" s="114" t="str" cm="1">
        <f t="array" ref="B1433">IFERROR(INDEX('03.Muestra'!$C$8:$C$42,SMALL(IF("Página Web"='03.Muestra'!$D$8:$D$42,ROW('03.Muestra'!$C$8:$C$42)-MIN(ROW('03.Muestra'!$D$8:$D$42))+1,""),ROW()-1424)),"")</f>
        <v/>
      </c>
      <c r="C1433" s="114" t="str" cm="1">
        <f t="array" ref="C1433">IFERROR(INDEX('03.Muestra'!$F$8:$F$42,SMALL(IF("Página Web"='03.Muestra'!$D$8:$D$42,ROW('03.Muestra'!$F$8:$F$42)-MIN(ROW('03.Muestra'!$D$8:$D$42))+1,""),ROW()-1424)),"")</f>
        <v/>
      </c>
      <c r="D1433" s="130" t="str">
        <f t="shared" si="75"/>
        <v/>
      </c>
      <c r="E1433" s="107" t="str">
        <f t="shared" si="74"/>
        <v/>
      </c>
      <c r="F1433" s="19"/>
      <c r="G1433" s="19"/>
      <c r="H1433" s="19"/>
      <c r="I1433" s="19"/>
      <c r="J1433" s="19"/>
      <c r="K1433" s="233"/>
      <c r="L1433" s="19"/>
    </row>
    <row r="1434" spans="1:12" ht="12" customHeight="1">
      <c r="A1434" s="219" t="str" cm="1">
        <f t="array" ref="A1434">IFERROR(INDEX('03.Muestra'!$B$8:$B$42,SMALL(IF("Página Web"='03.Muestra'!$D$8:$D$42,ROW('03.Muestra'!$B$8:$B$42)-MIN(ROW('03.Muestra'!$D$8:$D$42))+1,""),ROW()-1424)),"")</f>
        <v/>
      </c>
      <c r="B1434" s="114" t="str" cm="1">
        <f t="array" ref="B1434">IFERROR(INDEX('03.Muestra'!$C$8:$C$42,SMALL(IF("Página Web"='03.Muestra'!$D$8:$D$42,ROW('03.Muestra'!$C$8:$C$42)-MIN(ROW('03.Muestra'!$D$8:$D$42))+1,""),ROW()-1424)),"")</f>
        <v/>
      </c>
      <c r="C1434" s="114" t="str" cm="1">
        <f t="array" ref="C1434">IFERROR(INDEX('03.Muestra'!$F$8:$F$42,SMALL(IF("Página Web"='03.Muestra'!$D$8:$D$42,ROW('03.Muestra'!$F$8:$F$42)-MIN(ROW('03.Muestra'!$D$8:$D$42))+1,""),ROW()-1424)),"")</f>
        <v/>
      </c>
      <c r="D1434" s="130" t="str">
        <f t="shared" si="75"/>
        <v/>
      </c>
      <c r="E1434" s="107" t="str">
        <f t="shared" si="74"/>
        <v/>
      </c>
      <c r="F1434" s="19"/>
      <c r="G1434" s="19"/>
      <c r="H1434" s="19"/>
      <c r="I1434" s="19"/>
      <c r="J1434" s="19"/>
      <c r="K1434" s="233"/>
      <c r="L1434" s="19"/>
    </row>
    <row r="1435" spans="1:12" ht="12" customHeight="1">
      <c r="A1435" s="219" t="str" cm="1">
        <f t="array" ref="A1435">IFERROR(INDEX('03.Muestra'!$B$8:$B$42,SMALL(IF("Página Web"='03.Muestra'!$D$8:$D$42,ROW('03.Muestra'!$B$8:$B$42)-MIN(ROW('03.Muestra'!$D$8:$D$42))+1,""),ROW()-1424)),"")</f>
        <v/>
      </c>
      <c r="B1435" s="114" t="str" cm="1">
        <f t="array" ref="B1435">IFERROR(INDEX('03.Muestra'!$C$8:$C$42,SMALL(IF("Página Web"='03.Muestra'!$D$8:$D$42,ROW('03.Muestra'!$C$8:$C$42)-MIN(ROW('03.Muestra'!$D$8:$D$42))+1,""),ROW()-1424)),"")</f>
        <v/>
      </c>
      <c r="C1435" s="114" t="str" cm="1">
        <f t="array" ref="C1435">IFERROR(INDEX('03.Muestra'!$F$8:$F$42,SMALL(IF("Página Web"='03.Muestra'!$D$8:$D$42,ROW('03.Muestra'!$F$8:$F$42)-MIN(ROW('03.Muestra'!$D$8:$D$42))+1,""),ROW()-1424)),"")</f>
        <v/>
      </c>
      <c r="D1435" s="130" t="str">
        <f t="shared" si="75"/>
        <v/>
      </c>
      <c r="E1435" s="107" t="str">
        <f t="shared" si="74"/>
        <v/>
      </c>
      <c r="F1435" s="19"/>
      <c r="G1435" s="19"/>
      <c r="H1435" s="19"/>
      <c r="I1435" s="19"/>
      <c r="J1435" s="19"/>
      <c r="K1435" s="233"/>
      <c r="L1435" s="19"/>
    </row>
    <row r="1436" spans="1:12" ht="12" customHeight="1">
      <c r="A1436" s="219" t="str" cm="1">
        <f t="array" ref="A1436">IFERROR(INDEX('03.Muestra'!$B$8:$B$42,SMALL(IF("Página Web"='03.Muestra'!$D$8:$D$42,ROW('03.Muestra'!$B$8:$B$42)-MIN(ROW('03.Muestra'!$D$8:$D$42))+1,""),ROW()-1424)),"")</f>
        <v/>
      </c>
      <c r="B1436" s="114" t="str" cm="1">
        <f t="array" ref="B1436">IFERROR(INDEX('03.Muestra'!$C$8:$C$42,SMALL(IF("Página Web"='03.Muestra'!$D$8:$D$42,ROW('03.Muestra'!$C$8:$C$42)-MIN(ROW('03.Muestra'!$D$8:$D$42))+1,""),ROW()-1424)),"")</f>
        <v/>
      </c>
      <c r="C1436" s="114" t="str" cm="1">
        <f t="array" ref="C1436">IFERROR(INDEX('03.Muestra'!$F$8:$F$42,SMALL(IF("Página Web"='03.Muestra'!$D$8:$D$42,ROW('03.Muestra'!$F$8:$F$42)-MIN(ROW('03.Muestra'!$D$8:$D$42))+1,""),ROW()-1424)),"")</f>
        <v/>
      </c>
      <c r="D1436" s="130" t="str">
        <f t="shared" si="75"/>
        <v/>
      </c>
      <c r="E1436" s="107" t="str">
        <f t="shared" si="74"/>
        <v/>
      </c>
      <c r="F1436" s="19"/>
      <c r="G1436" s="19"/>
      <c r="H1436" s="19"/>
      <c r="I1436" s="19"/>
      <c r="J1436" s="19"/>
      <c r="K1436" s="233"/>
      <c r="L1436" s="19"/>
    </row>
    <row r="1437" spans="1:12" ht="12" customHeight="1">
      <c r="A1437" s="219" t="str" cm="1">
        <f t="array" ref="A1437">IFERROR(INDEX('03.Muestra'!$B$8:$B$42,SMALL(IF("Página Web"='03.Muestra'!$D$8:$D$42,ROW('03.Muestra'!$B$8:$B$42)-MIN(ROW('03.Muestra'!$D$8:$D$42))+1,""),ROW()-1424)),"")</f>
        <v/>
      </c>
      <c r="B1437" s="114" t="str" cm="1">
        <f t="array" ref="B1437">IFERROR(INDEX('03.Muestra'!$C$8:$C$42,SMALL(IF("Página Web"='03.Muestra'!$D$8:$D$42,ROW('03.Muestra'!$C$8:$C$42)-MIN(ROW('03.Muestra'!$D$8:$D$42))+1,""),ROW()-1424)),"")</f>
        <v/>
      </c>
      <c r="C1437" s="114" t="str" cm="1">
        <f t="array" ref="C1437">IFERROR(INDEX('03.Muestra'!$F$8:$F$42,SMALL(IF("Página Web"='03.Muestra'!$D$8:$D$42,ROW('03.Muestra'!$F$8:$F$42)-MIN(ROW('03.Muestra'!$D$8:$D$42))+1,""),ROW()-1424)),"")</f>
        <v/>
      </c>
      <c r="D1437" s="130" t="str">
        <f t="shared" si="75"/>
        <v/>
      </c>
      <c r="E1437" s="107" t="str">
        <f t="shared" si="74"/>
        <v/>
      </c>
      <c r="F1437" s="19"/>
      <c r="G1437" s="19"/>
      <c r="H1437" s="19"/>
      <c r="I1437" s="19"/>
      <c r="J1437" s="19"/>
      <c r="K1437" s="233"/>
      <c r="L1437" s="19"/>
    </row>
    <row r="1438" spans="1:12" ht="12" customHeight="1">
      <c r="A1438" s="219" t="str" cm="1">
        <f t="array" ref="A1438">IFERROR(INDEX('03.Muestra'!$B$8:$B$42,SMALL(IF("Página Web"='03.Muestra'!$D$8:$D$42,ROW('03.Muestra'!$B$8:$B$42)-MIN(ROW('03.Muestra'!$D$8:$D$42))+1,""),ROW()-1424)),"")</f>
        <v/>
      </c>
      <c r="B1438" s="114" t="str" cm="1">
        <f t="array" ref="B1438">IFERROR(INDEX('03.Muestra'!$C$8:$C$42,SMALL(IF("Página Web"='03.Muestra'!$D$8:$D$42,ROW('03.Muestra'!$C$8:$C$42)-MIN(ROW('03.Muestra'!$D$8:$D$42))+1,""),ROW()-1424)),"")</f>
        <v/>
      </c>
      <c r="C1438" s="114" t="str" cm="1">
        <f t="array" ref="C1438">IFERROR(INDEX('03.Muestra'!$F$8:$F$42,SMALL(IF("Página Web"='03.Muestra'!$D$8:$D$42,ROW('03.Muestra'!$F$8:$F$42)-MIN(ROW('03.Muestra'!$D$8:$D$42))+1,""),ROW()-1424)),"")</f>
        <v/>
      </c>
      <c r="D1438" s="130" t="str">
        <f t="shared" si="75"/>
        <v/>
      </c>
      <c r="E1438" s="107" t="str">
        <f t="shared" si="74"/>
        <v/>
      </c>
      <c r="F1438" s="19"/>
      <c r="G1438" s="19"/>
      <c r="H1438" s="19"/>
      <c r="I1438" s="19"/>
      <c r="J1438" s="19"/>
      <c r="K1438" s="233"/>
      <c r="L1438" s="19"/>
    </row>
    <row r="1439" spans="1:12" ht="12" customHeight="1">
      <c r="A1439" s="219" t="str" cm="1">
        <f t="array" ref="A1439">IFERROR(INDEX('03.Muestra'!$B$8:$B$42,SMALL(IF("Página Web"='03.Muestra'!$D$8:$D$42,ROW('03.Muestra'!$B$8:$B$42)-MIN(ROW('03.Muestra'!$D$8:$D$42))+1,""),ROW()-1424)),"")</f>
        <v/>
      </c>
      <c r="B1439" s="114" t="str" cm="1">
        <f t="array" ref="B1439">IFERROR(INDEX('03.Muestra'!$C$8:$C$42,SMALL(IF("Página Web"='03.Muestra'!$D$8:$D$42,ROW('03.Muestra'!$C$8:$C$42)-MIN(ROW('03.Muestra'!$D$8:$D$42))+1,""),ROW()-1424)),"")</f>
        <v/>
      </c>
      <c r="C1439" s="114" t="str" cm="1">
        <f t="array" ref="C1439">IFERROR(INDEX('03.Muestra'!$F$8:$F$42,SMALL(IF("Página Web"='03.Muestra'!$D$8:$D$42,ROW('03.Muestra'!$F$8:$F$42)-MIN(ROW('03.Muestra'!$D$8:$D$42))+1,""),ROW()-1424)),"")</f>
        <v/>
      </c>
      <c r="D1439" s="130" t="str">
        <f t="shared" si="75"/>
        <v/>
      </c>
      <c r="E1439" s="107" t="str">
        <f t="shared" si="74"/>
        <v/>
      </c>
      <c r="F1439" s="19"/>
      <c r="G1439" s="19"/>
      <c r="H1439" s="19"/>
      <c r="I1439" s="19"/>
      <c r="J1439" s="19"/>
      <c r="K1439" s="233"/>
      <c r="L1439" s="19"/>
    </row>
    <row r="1440" spans="1:12" ht="12" customHeight="1">
      <c r="A1440" s="219" t="str" cm="1">
        <f t="array" ref="A1440">IFERROR(INDEX('03.Muestra'!$B$8:$B$42,SMALL(IF("Página Web"='03.Muestra'!$D$8:$D$42,ROW('03.Muestra'!$B$8:$B$42)-MIN(ROW('03.Muestra'!$D$8:$D$42))+1,""),ROW()-1424)),"")</f>
        <v/>
      </c>
      <c r="B1440" s="114" t="str" cm="1">
        <f t="array" ref="B1440">IFERROR(INDEX('03.Muestra'!$C$8:$C$42,SMALL(IF("Página Web"='03.Muestra'!$D$8:$D$42,ROW('03.Muestra'!$C$8:$C$42)-MIN(ROW('03.Muestra'!$D$8:$D$42))+1,""),ROW()-1424)),"")</f>
        <v/>
      </c>
      <c r="C1440" s="114" t="str" cm="1">
        <f t="array" ref="C1440">IFERROR(INDEX('03.Muestra'!$F$8:$F$42,SMALL(IF("Página Web"='03.Muestra'!$D$8:$D$42,ROW('03.Muestra'!$F$8:$F$42)-MIN(ROW('03.Muestra'!$D$8:$D$42))+1,""),ROW()-1424)),"")</f>
        <v/>
      </c>
      <c r="D1440" s="130" t="str">
        <f t="shared" si="75"/>
        <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si="75"/>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http://www.madrid.org/presupuestos</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Menu 1</v>
      </c>
      <c r="C1464" s="114" t="str" cm="1">
        <f t="array" ref="C1464">IFERROR(INDEX('03.Muestra'!$F$8:$F$42,SMALL(IF("Página Web"='03.Muestra'!$D$8:$D$42,ROW('03.Muestra'!$F$8:$F$42)-MIN(ROW('03.Muestra'!$D$8:$D$42))+1,""),ROW()-1462)),"")</f>
        <v>http://www.madrid.org/presupuestos/index.php/presupuestos-generales/presupuestos-cm/2022</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5</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Menu 2</v>
      </c>
      <c r="C1465" s="114" t="str" cm="1">
        <f t="array" ref="C1465">IFERROR(INDEX('03.Muestra'!$F$8:$F$42,SMALL(IF("Página Web"='03.Muestra'!$D$8:$D$42,ROW('03.Muestra'!$F$8:$F$42)-MIN(ROW('03.Muestra'!$D$8:$D$42))+1,""),ROW()-1462)),"")</f>
        <v>http://www.madrid.org/presupuestos/index.php/ejecucion-presupuestaria</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Menu 3</v>
      </c>
      <c r="C1466" s="114" t="str" cm="1">
        <f t="array" ref="C1466">IFERROR(INDEX('03.Muestra'!$F$8:$F$42,SMALL(IF("Página Web"='03.Muestra'!$D$8:$D$42,ROW('03.Muestra'!$F$8:$F$42)-MIN(ROW('03.Muestra'!$D$8:$D$42))+1,""),ROW()-1462)),"")</f>
        <v>http://www.madrid.org/presupuestos/index.php/transparencia</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Accesibilidad</v>
      </c>
      <c r="C1467" s="114" t="str" cm="1">
        <f t="array" ref="C1467">IFERROR(INDEX('03.Muestra'!$F$8:$F$42,SMALL(IF("Página Web"='03.Muestra'!$D$8:$D$42,ROW('03.Muestra'!$F$8:$F$42)-MIN(ROW('03.Muestra'!$D$8:$D$42))+1,""),ROW()-1462)),"")</f>
        <v>http://www.madrid.org/presupuestos/index.php/accesibilidad-web</v>
      </c>
      <c r="D1467" s="130" t="s">
        <v>26</v>
      </c>
      <c r="E1467" s="107" t="str">
        <f t="shared" si="76"/>
        <v/>
      </c>
      <c r="G1467" s="19"/>
      <c r="H1467" s="19"/>
      <c r="I1467" s="19"/>
      <c r="J1467" s="19"/>
      <c r="K1467" s="233"/>
      <c r="L1467" s="19"/>
    </row>
    <row r="1468" spans="1:12" ht="12" customHeight="1">
      <c r="A1468" s="219" t="str" cm="1">
        <f t="array" ref="A1468">IFERROR(INDEX('03.Muestra'!$B$8:$B$42,SMALL(IF("Página Web"='03.Muestra'!$D$8:$D$42,ROW('03.Muestra'!$B$8:$B$42)-MIN(ROW('03.Muestra'!$D$8:$D$42))+1,""),ROW()-1462)),"")</f>
        <v/>
      </c>
      <c r="B1468" s="114" t="str" cm="1">
        <f t="array" ref="B1468">IFERROR(INDEX('03.Muestra'!$C$8:$C$42,SMALL(IF("Página Web"='03.Muestra'!$D$8:$D$42,ROW('03.Muestra'!$C$8:$C$42)-MIN(ROW('03.Muestra'!$D$8:$D$42))+1,""),ROW()-1462)),"")</f>
        <v/>
      </c>
      <c r="C1468" s="114" t="str" cm="1">
        <f t="array" ref="C1468">IFERROR(INDEX('03.Muestra'!$F$8:$F$42,SMALL(IF("Página Web"='03.Muestra'!$D$8:$D$42,ROW('03.Muestra'!$F$8:$F$42)-MIN(ROW('03.Muestra'!$D$8:$D$42))+1,""),ROW()-1462)),"")</f>
        <v/>
      </c>
      <c r="D1468" s="130" t="str">
        <f t="shared" ref="D1468:D1497" si="77">IF(AND(B1468&lt;&gt;"",C1468&lt;&gt;""),"N/T","")</f>
        <v/>
      </c>
      <c r="E1468" s="107" t="str">
        <f t="shared" si="76"/>
        <v/>
      </c>
      <c r="G1468" s="19"/>
      <c r="H1468" s="19"/>
      <c r="I1468" s="19"/>
      <c r="J1468" s="19"/>
      <c r="K1468" s="233"/>
      <c r="L1468" s="19"/>
    </row>
    <row r="1469" spans="1:12" ht="12" customHeight="1">
      <c r="A1469" s="219" t="str" cm="1">
        <f t="array" ref="A1469">IFERROR(INDEX('03.Muestra'!$B$8:$B$42,SMALL(IF("Página Web"='03.Muestra'!$D$8:$D$42,ROW('03.Muestra'!$B$8:$B$42)-MIN(ROW('03.Muestra'!$D$8:$D$42))+1,""),ROW()-1462)),"")</f>
        <v/>
      </c>
      <c r="B1469" s="114" t="str" cm="1">
        <f t="array" ref="B1469">IFERROR(INDEX('03.Muestra'!$C$8:$C$42,SMALL(IF("Página Web"='03.Muestra'!$D$8:$D$42,ROW('03.Muestra'!$C$8:$C$42)-MIN(ROW('03.Muestra'!$D$8:$D$42))+1,""),ROW()-1462)),"")</f>
        <v/>
      </c>
      <c r="C1469" s="114" t="str" cm="1">
        <f t="array" ref="C1469">IFERROR(INDEX('03.Muestra'!$F$8:$F$42,SMALL(IF("Página Web"='03.Muestra'!$D$8:$D$42,ROW('03.Muestra'!$F$8:$F$42)-MIN(ROW('03.Muestra'!$D$8:$D$42))+1,""),ROW()-1462)),"")</f>
        <v/>
      </c>
      <c r="D1469" s="130" t="str">
        <f t="shared" si="77"/>
        <v/>
      </c>
      <c r="E1469" s="107" t="str">
        <f t="shared" si="76"/>
        <v/>
      </c>
      <c r="F1469" s="19"/>
      <c r="G1469" s="19"/>
      <c r="H1469" s="19"/>
      <c r="I1469" s="19"/>
      <c r="J1469" s="19"/>
      <c r="K1469" s="233"/>
      <c r="L1469" s="19"/>
    </row>
    <row r="1470" spans="1:12" ht="12" customHeight="1">
      <c r="A1470" s="219" t="str" cm="1">
        <f t="array" ref="A1470">IFERROR(INDEX('03.Muestra'!$B$8:$B$42,SMALL(IF("Página Web"='03.Muestra'!$D$8:$D$42,ROW('03.Muestra'!$B$8:$B$42)-MIN(ROW('03.Muestra'!$D$8:$D$42))+1,""),ROW()-1462)),"")</f>
        <v/>
      </c>
      <c r="B1470" s="114" t="str" cm="1">
        <f t="array" ref="B1470">IFERROR(INDEX('03.Muestra'!$C$8:$C$42,SMALL(IF("Página Web"='03.Muestra'!$D$8:$D$42,ROW('03.Muestra'!$C$8:$C$42)-MIN(ROW('03.Muestra'!$D$8:$D$42))+1,""),ROW()-1462)),"")</f>
        <v/>
      </c>
      <c r="C1470" s="114" t="str" cm="1">
        <f t="array" ref="C1470">IFERROR(INDEX('03.Muestra'!$F$8:$F$42,SMALL(IF("Página Web"='03.Muestra'!$D$8:$D$42,ROW('03.Muestra'!$F$8:$F$42)-MIN(ROW('03.Muestra'!$D$8:$D$42))+1,""),ROW()-1462)),"")</f>
        <v/>
      </c>
      <c r="D1470" s="130" t="str">
        <f t="shared" si="77"/>
        <v/>
      </c>
      <c r="E1470" s="107" t="str">
        <f t="shared" si="76"/>
        <v/>
      </c>
      <c r="F1470" s="19"/>
      <c r="G1470" s="19"/>
      <c r="H1470" s="19"/>
      <c r="I1470" s="19"/>
      <c r="J1470" s="19"/>
      <c r="K1470" s="233"/>
      <c r="L1470" s="19"/>
    </row>
    <row r="1471" spans="1:12" ht="12" customHeight="1">
      <c r="A1471" s="219" t="str" cm="1">
        <f t="array" ref="A1471">IFERROR(INDEX('03.Muestra'!$B$8:$B$42,SMALL(IF("Página Web"='03.Muestra'!$D$8:$D$42,ROW('03.Muestra'!$B$8:$B$42)-MIN(ROW('03.Muestra'!$D$8:$D$42))+1,""),ROW()-1462)),"")</f>
        <v/>
      </c>
      <c r="B1471" s="114" t="str" cm="1">
        <f t="array" ref="B1471">IFERROR(INDEX('03.Muestra'!$C$8:$C$42,SMALL(IF("Página Web"='03.Muestra'!$D$8:$D$42,ROW('03.Muestra'!$C$8:$C$42)-MIN(ROW('03.Muestra'!$D$8:$D$42))+1,""),ROW()-1462)),"")</f>
        <v/>
      </c>
      <c r="C1471" s="114" t="str" cm="1">
        <f t="array" ref="C1471">IFERROR(INDEX('03.Muestra'!$F$8:$F$42,SMALL(IF("Página Web"='03.Muestra'!$D$8:$D$42,ROW('03.Muestra'!$F$8:$F$42)-MIN(ROW('03.Muestra'!$D$8:$D$42))+1,""),ROW()-1462)),"")</f>
        <v/>
      </c>
      <c r="D1471" s="130" t="str">
        <f t="shared" si="77"/>
        <v/>
      </c>
      <c r="E1471" s="107" t="str">
        <f t="shared" si="76"/>
        <v/>
      </c>
      <c r="F1471" s="19"/>
      <c r="G1471" s="19"/>
      <c r="H1471" s="19"/>
      <c r="I1471" s="19"/>
      <c r="J1471" s="19"/>
      <c r="K1471" s="233"/>
      <c r="L1471" s="19"/>
    </row>
    <row r="1472" spans="1:12" ht="12" customHeight="1">
      <c r="A1472" s="219" t="str" cm="1">
        <f t="array" ref="A1472">IFERROR(INDEX('03.Muestra'!$B$8:$B$42,SMALL(IF("Página Web"='03.Muestra'!$D$8:$D$42,ROW('03.Muestra'!$B$8:$B$42)-MIN(ROW('03.Muestra'!$D$8:$D$42))+1,""),ROW()-1462)),"")</f>
        <v/>
      </c>
      <c r="B1472" s="114" t="str" cm="1">
        <f t="array" ref="B1472">IFERROR(INDEX('03.Muestra'!$C$8:$C$42,SMALL(IF("Página Web"='03.Muestra'!$D$8:$D$42,ROW('03.Muestra'!$C$8:$C$42)-MIN(ROW('03.Muestra'!$D$8:$D$42))+1,""),ROW()-1462)),"")</f>
        <v/>
      </c>
      <c r="C1472" s="114" t="str" cm="1">
        <f t="array" ref="C1472">IFERROR(INDEX('03.Muestra'!$F$8:$F$42,SMALL(IF("Página Web"='03.Muestra'!$D$8:$D$42,ROW('03.Muestra'!$F$8:$F$42)-MIN(ROW('03.Muestra'!$D$8:$D$42))+1,""),ROW()-1462)),"")</f>
        <v/>
      </c>
      <c r="D1472" s="130" t="str">
        <f t="shared" si="77"/>
        <v/>
      </c>
      <c r="E1472" s="107" t="str">
        <f t="shared" si="76"/>
        <v/>
      </c>
      <c r="F1472" s="19"/>
      <c r="G1472" s="19"/>
      <c r="H1472" s="19"/>
      <c r="I1472" s="19"/>
      <c r="J1472" s="19"/>
      <c r="K1472" s="233"/>
      <c r="L1472" s="19"/>
    </row>
    <row r="1473" spans="1:12" ht="12" customHeight="1">
      <c r="A1473" s="219" t="str" cm="1">
        <f t="array" ref="A1473">IFERROR(INDEX('03.Muestra'!$B$8:$B$42,SMALL(IF("Página Web"='03.Muestra'!$D$8:$D$42,ROW('03.Muestra'!$B$8:$B$42)-MIN(ROW('03.Muestra'!$D$8:$D$42))+1,""),ROW()-1462)),"")</f>
        <v/>
      </c>
      <c r="B1473" s="114" t="str" cm="1">
        <f t="array" ref="B1473">IFERROR(INDEX('03.Muestra'!$C$8:$C$42,SMALL(IF("Página Web"='03.Muestra'!$D$8:$D$42,ROW('03.Muestra'!$C$8:$C$42)-MIN(ROW('03.Muestra'!$D$8:$D$42))+1,""),ROW()-1462)),"")</f>
        <v/>
      </c>
      <c r="C1473" s="114" t="str" cm="1">
        <f t="array" ref="C1473">IFERROR(INDEX('03.Muestra'!$F$8:$F$42,SMALL(IF("Página Web"='03.Muestra'!$D$8:$D$42,ROW('03.Muestra'!$F$8:$F$42)-MIN(ROW('03.Muestra'!$D$8:$D$42))+1,""),ROW()-1462)),"")</f>
        <v/>
      </c>
      <c r="D1473" s="130" t="str">
        <f t="shared" si="77"/>
        <v/>
      </c>
      <c r="E1473" s="107" t="str">
        <f t="shared" si="76"/>
        <v/>
      </c>
      <c r="F1473" s="19"/>
      <c r="G1473" s="19"/>
      <c r="H1473" s="19"/>
      <c r="I1473" s="19"/>
      <c r="J1473" s="19"/>
      <c r="K1473" s="233"/>
      <c r="L1473" s="19"/>
    </row>
    <row r="1474" spans="1:12" ht="12" customHeight="1">
      <c r="A1474" s="219" t="str" cm="1">
        <f t="array" ref="A1474">IFERROR(INDEX('03.Muestra'!$B$8:$B$42,SMALL(IF("Página Web"='03.Muestra'!$D$8:$D$42,ROW('03.Muestra'!$B$8:$B$42)-MIN(ROW('03.Muestra'!$D$8:$D$42))+1,""),ROW()-1462)),"")</f>
        <v/>
      </c>
      <c r="B1474" s="114" t="str" cm="1">
        <f t="array" ref="B1474">IFERROR(INDEX('03.Muestra'!$C$8:$C$42,SMALL(IF("Página Web"='03.Muestra'!$D$8:$D$42,ROW('03.Muestra'!$C$8:$C$42)-MIN(ROW('03.Muestra'!$D$8:$D$42))+1,""),ROW()-1462)),"")</f>
        <v/>
      </c>
      <c r="C1474" s="114" t="str" cm="1">
        <f t="array" ref="C1474">IFERROR(INDEX('03.Muestra'!$F$8:$F$42,SMALL(IF("Página Web"='03.Muestra'!$D$8:$D$42,ROW('03.Muestra'!$F$8:$F$42)-MIN(ROW('03.Muestra'!$D$8:$D$42))+1,""),ROW()-1462)),"")</f>
        <v/>
      </c>
      <c r="D1474" s="130" t="str">
        <f t="shared" si="77"/>
        <v/>
      </c>
      <c r="E1474" s="107" t="str">
        <f t="shared" si="76"/>
        <v/>
      </c>
      <c r="F1474" s="19"/>
      <c r="G1474" s="19"/>
      <c r="H1474" s="19"/>
      <c r="I1474" s="19"/>
      <c r="J1474" s="19"/>
      <c r="K1474" s="233"/>
      <c r="L1474" s="19"/>
    </row>
    <row r="1475" spans="1:12" ht="12" customHeight="1">
      <c r="A1475" s="219" t="str" cm="1">
        <f t="array" ref="A1475">IFERROR(INDEX('03.Muestra'!$B$8:$B$42,SMALL(IF("Página Web"='03.Muestra'!$D$8:$D$42,ROW('03.Muestra'!$B$8:$B$42)-MIN(ROW('03.Muestra'!$D$8:$D$42))+1,""),ROW()-1462)),"")</f>
        <v/>
      </c>
      <c r="B1475" s="114" t="str" cm="1">
        <f t="array" ref="B1475">IFERROR(INDEX('03.Muestra'!$C$8:$C$42,SMALL(IF("Página Web"='03.Muestra'!$D$8:$D$42,ROW('03.Muestra'!$C$8:$C$42)-MIN(ROW('03.Muestra'!$D$8:$D$42))+1,""),ROW()-1462)),"")</f>
        <v/>
      </c>
      <c r="C1475" s="114" t="str" cm="1">
        <f t="array" ref="C1475">IFERROR(INDEX('03.Muestra'!$F$8:$F$42,SMALL(IF("Página Web"='03.Muestra'!$D$8:$D$42,ROW('03.Muestra'!$F$8:$F$42)-MIN(ROW('03.Muestra'!$D$8:$D$42))+1,""),ROW()-1462)),"")</f>
        <v/>
      </c>
      <c r="D1475" s="130" t="str">
        <f t="shared" si="77"/>
        <v/>
      </c>
      <c r="E1475" s="107" t="str">
        <f t="shared" si="76"/>
        <v/>
      </c>
      <c r="F1475" s="19"/>
      <c r="G1475" s="19"/>
      <c r="H1475" s="19"/>
      <c r="I1475" s="19"/>
      <c r="J1475" s="19"/>
      <c r="K1475" s="233"/>
      <c r="L1475" s="19"/>
    </row>
    <row r="1476" spans="1:12" ht="12" customHeight="1">
      <c r="A1476" s="219" t="str" cm="1">
        <f t="array" ref="A1476">IFERROR(INDEX('03.Muestra'!$B$8:$B$42,SMALL(IF("Página Web"='03.Muestra'!$D$8:$D$42,ROW('03.Muestra'!$B$8:$B$42)-MIN(ROW('03.Muestra'!$D$8:$D$42))+1,""),ROW()-1462)),"")</f>
        <v/>
      </c>
      <c r="B1476" s="114" t="str" cm="1">
        <f t="array" ref="B1476">IFERROR(INDEX('03.Muestra'!$C$8:$C$42,SMALL(IF("Página Web"='03.Muestra'!$D$8:$D$42,ROW('03.Muestra'!$C$8:$C$42)-MIN(ROW('03.Muestra'!$D$8:$D$42))+1,""),ROW()-1462)),"")</f>
        <v/>
      </c>
      <c r="C1476" s="114" t="str" cm="1">
        <f t="array" ref="C1476">IFERROR(INDEX('03.Muestra'!$F$8:$F$42,SMALL(IF("Página Web"='03.Muestra'!$D$8:$D$42,ROW('03.Muestra'!$F$8:$F$42)-MIN(ROW('03.Muestra'!$D$8:$D$42))+1,""),ROW()-1462)),"")</f>
        <v/>
      </c>
      <c r="D1476" s="130" t="str">
        <f t="shared" si="77"/>
        <v/>
      </c>
      <c r="E1476" s="107" t="str">
        <f t="shared" si="76"/>
        <v/>
      </c>
      <c r="F1476" s="19"/>
      <c r="G1476" s="19"/>
      <c r="H1476" s="19"/>
      <c r="I1476" s="19"/>
      <c r="J1476" s="19"/>
      <c r="K1476" s="233"/>
      <c r="L1476" s="19"/>
    </row>
    <row r="1477" spans="1:12" ht="12" customHeight="1">
      <c r="A1477" s="219" t="str" cm="1">
        <f t="array" ref="A1477">IFERROR(INDEX('03.Muestra'!$B$8:$B$42,SMALL(IF("Página Web"='03.Muestra'!$D$8:$D$42,ROW('03.Muestra'!$B$8:$B$42)-MIN(ROW('03.Muestra'!$D$8:$D$42))+1,""),ROW()-1462)),"")</f>
        <v/>
      </c>
      <c r="B1477" s="114" t="str" cm="1">
        <f t="array" ref="B1477">IFERROR(INDEX('03.Muestra'!$C$8:$C$42,SMALL(IF("Página Web"='03.Muestra'!$D$8:$D$42,ROW('03.Muestra'!$C$8:$C$42)-MIN(ROW('03.Muestra'!$D$8:$D$42))+1,""),ROW()-1462)),"")</f>
        <v/>
      </c>
      <c r="C1477" s="114" t="str" cm="1">
        <f t="array" ref="C1477">IFERROR(INDEX('03.Muestra'!$F$8:$F$42,SMALL(IF("Página Web"='03.Muestra'!$D$8:$D$42,ROW('03.Muestra'!$F$8:$F$42)-MIN(ROW('03.Muestra'!$D$8:$D$42))+1,""),ROW()-1462)),"")</f>
        <v/>
      </c>
      <c r="D1477" s="130" t="str">
        <f t="shared" si="77"/>
        <v/>
      </c>
      <c r="E1477" s="107" t="str">
        <f t="shared" si="76"/>
        <v/>
      </c>
      <c r="F1477" s="19"/>
      <c r="G1477" s="19"/>
      <c r="H1477" s="19"/>
      <c r="I1477" s="19"/>
      <c r="J1477" s="19"/>
      <c r="K1477" s="233"/>
      <c r="L1477" s="19"/>
    </row>
    <row r="1478" spans="1:12" ht="12" customHeight="1">
      <c r="A1478" s="219" t="str" cm="1">
        <f t="array" ref="A1478">IFERROR(INDEX('03.Muestra'!$B$8:$B$42,SMALL(IF("Página Web"='03.Muestra'!$D$8:$D$42,ROW('03.Muestra'!$B$8:$B$42)-MIN(ROW('03.Muestra'!$D$8:$D$42))+1,""),ROW()-1462)),"")</f>
        <v/>
      </c>
      <c r="B1478" s="114" t="str" cm="1">
        <f t="array" ref="B1478">IFERROR(INDEX('03.Muestra'!$C$8:$C$42,SMALL(IF("Página Web"='03.Muestra'!$D$8:$D$42,ROW('03.Muestra'!$C$8:$C$42)-MIN(ROW('03.Muestra'!$D$8:$D$42))+1,""),ROW()-1462)),"")</f>
        <v/>
      </c>
      <c r="C1478" s="114" t="str" cm="1">
        <f t="array" ref="C1478">IFERROR(INDEX('03.Muestra'!$F$8:$F$42,SMALL(IF("Página Web"='03.Muestra'!$D$8:$D$42,ROW('03.Muestra'!$F$8:$F$42)-MIN(ROW('03.Muestra'!$D$8:$D$42))+1,""),ROW()-1462)),"")</f>
        <v/>
      </c>
      <c r="D1478" s="130" t="str">
        <f t="shared" si="77"/>
        <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si="77"/>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http://www.madrid.org/presupuestos</v>
      </c>
      <c r="D1501" s="130" t="s">
        <v>26</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Menu 1</v>
      </c>
      <c r="C1502" s="114" t="str" cm="1">
        <f t="array" ref="C1502">IFERROR(INDEX('03.Muestra'!$F$8:$F$42,SMALL(IF("Página Web"='03.Muestra'!$D$8:$D$42,ROW('03.Muestra'!$F$8:$F$42)-MIN(ROW('03.Muestra'!$D$8:$D$42))+1,""),ROW()-1500)),"")</f>
        <v>http://www.madrid.org/presupuestos/index.php/presupuestos-generales/presupuestos-cm/2022</v>
      </c>
      <c r="D1502" s="130" t="s">
        <v>26</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5</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Menu 2</v>
      </c>
      <c r="C1503" s="114" t="str" cm="1">
        <f t="array" ref="C1503">IFERROR(INDEX('03.Muestra'!$F$8:$F$42,SMALL(IF("Página Web"='03.Muestra'!$D$8:$D$42,ROW('03.Muestra'!$F$8:$F$42)-MIN(ROW('03.Muestra'!$D$8:$D$42))+1,""),ROW()-1500)),"")</f>
        <v>http://www.madrid.org/presupuestos/index.php/ejecucion-presupuestaria</v>
      </c>
      <c r="D1503" s="130" t="s">
        <v>26</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Menu 3</v>
      </c>
      <c r="C1504" s="114" t="str" cm="1">
        <f t="array" ref="C1504">IFERROR(INDEX('03.Muestra'!$F$8:$F$42,SMALL(IF("Página Web"='03.Muestra'!$D$8:$D$42,ROW('03.Muestra'!$F$8:$F$42)-MIN(ROW('03.Muestra'!$D$8:$D$42))+1,""),ROW()-1500)),"")</f>
        <v>http://www.madrid.org/presupuestos/index.php/transparencia</v>
      </c>
      <c r="D1504" s="130" t="s">
        <v>26</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Accesibilidad</v>
      </c>
      <c r="C1505" s="114" t="str" cm="1">
        <f t="array" ref="C1505">IFERROR(INDEX('03.Muestra'!$F$8:$F$42,SMALL(IF("Página Web"='03.Muestra'!$D$8:$D$42,ROW('03.Muestra'!$F$8:$F$42)-MIN(ROW('03.Muestra'!$D$8:$D$42))+1,""),ROW()-1500)),"")</f>
        <v>http://www.madrid.org/presupuestos/index.php/accesibilidad-web</v>
      </c>
      <c r="D1505" s="130" t="s">
        <v>26</v>
      </c>
      <c r="E1505" s="107" t="str">
        <f t="shared" si="78"/>
        <v/>
      </c>
      <c r="G1505" s="19"/>
      <c r="H1505" s="19"/>
      <c r="I1505" s="19"/>
      <c r="J1505" s="19"/>
      <c r="K1505" s="233"/>
      <c r="L1505" s="19"/>
    </row>
    <row r="1506" spans="1:12" ht="12" customHeight="1">
      <c r="A1506" s="219" t="str" cm="1">
        <f t="array" ref="A1506">IFERROR(INDEX('03.Muestra'!$B$8:$B$42,SMALL(IF("Página Web"='03.Muestra'!$D$8:$D$42,ROW('03.Muestra'!$B$8:$B$42)-MIN(ROW('03.Muestra'!$D$8:$D$42))+1,""),ROW()-1500)),"")</f>
        <v/>
      </c>
      <c r="B1506" s="114" t="str" cm="1">
        <f t="array" ref="B1506">IFERROR(INDEX('03.Muestra'!$C$8:$C$42,SMALL(IF("Página Web"='03.Muestra'!$D$8:$D$42,ROW('03.Muestra'!$C$8:$C$42)-MIN(ROW('03.Muestra'!$D$8:$D$42))+1,""),ROW()-1500)),"")</f>
        <v/>
      </c>
      <c r="C1506" s="114" t="str" cm="1">
        <f t="array" ref="C1506">IFERROR(INDEX('03.Muestra'!$F$8:$F$42,SMALL(IF("Página Web"='03.Muestra'!$D$8:$D$42,ROW('03.Muestra'!$F$8:$F$42)-MIN(ROW('03.Muestra'!$D$8:$D$42))+1,""),ROW()-1500)),"")</f>
        <v/>
      </c>
      <c r="D1506" s="130" t="str">
        <f t="shared" ref="D1506:D1535" si="79">IF(AND(B1506&lt;&gt;"",C1506&lt;&gt;""),"N/T","")</f>
        <v/>
      </c>
      <c r="E1506" s="107" t="str">
        <f t="shared" si="78"/>
        <v/>
      </c>
      <c r="G1506" s="19"/>
      <c r="H1506" s="19"/>
      <c r="I1506" s="19"/>
      <c r="J1506" s="19"/>
      <c r="K1506" s="233"/>
      <c r="L1506" s="19"/>
    </row>
    <row r="1507" spans="1:12" ht="12" customHeight="1">
      <c r="A1507" s="219" t="str" cm="1">
        <f t="array" ref="A1507">IFERROR(INDEX('03.Muestra'!$B$8:$B$42,SMALL(IF("Página Web"='03.Muestra'!$D$8:$D$42,ROW('03.Muestra'!$B$8:$B$42)-MIN(ROW('03.Muestra'!$D$8:$D$42))+1,""),ROW()-1500)),"")</f>
        <v/>
      </c>
      <c r="B1507" s="114" t="str" cm="1">
        <f t="array" ref="B1507">IFERROR(INDEX('03.Muestra'!$C$8:$C$42,SMALL(IF("Página Web"='03.Muestra'!$D$8:$D$42,ROW('03.Muestra'!$C$8:$C$42)-MIN(ROW('03.Muestra'!$D$8:$D$42))+1,""),ROW()-1500)),"")</f>
        <v/>
      </c>
      <c r="C1507" s="114" t="str" cm="1">
        <f t="array" ref="C1507">IFERROR(INDEX('03.Muestra'!$F$8:$F$42,SMALL(IF("Página Web"='03.Muestra'!$D$8:$D$42,ROW('03.Muestra'!$F$8:$F$42)-MIN(ROW('03.Muestra'!$D$8:$D$42))+1,""),ROW()-1500)),"")</f>
        <v/>
      </c>
      <c r="D1507" s="130" t="str">
        <f t="shared" si="79"/>
        <v/>
      </c>
      <c r="E1507" s="107" t="str">
        <f t="shared" si="78"/>
        <v/>
      </c>
      <c r="F1507" s="19"/>
      <c r="G1507" s="19"/>
      <c r="H1507" s="19"/>
      <c r="I1507" s="19"/>
      <c r="J1507" s="19"/>
      <c r="K1507" s="233"/>
      <c r="L1507" s="19"/>
    </row>
    <row r="1508" spans="1:12" ht="12" customHeight="1">
      <c r="A1508" s="219" t="str" cm="1">
        <f t="array" ref="A1508">IFERROR(INDEX('03.Muestra'!$B$8:$B$42,SMALL(IF("Página Web"='03.Muestra'!$D$8:$D$42,ROW('03.Muestra'!$B$8:$B$42)-MIN(ROW('03.Muestra'!$D$8:$D$42))+1,""),ROW()-1500)),"")</f>
        <v/>
      </c>
      <c r="B1508" s="114" t="str" cm="1">
        <f t="array" ref="B1508">IFERROR(INDEX('03.Muestra'!$C$8:$C$42,SMALL(IF("Página Web"='03.Muestra'!$D$8:$D$42,ROW('03.Muestra'!$C$8:$C$42)-MIN(ROW('03.Muestra'!$D$8:$D$42))+1,""),ROW()-1500)),"")</f>
        <v/>
      </c>
      <c r="C1508" s="114" t="str" cm="1">
        <f t="array" ref="C1508">IFERROR(INDEX('03.Muestra'!$F$8:$F$42,SMALL(IF("Página Web"='03.Muestra'!$D$8:$D$42,ROW('03.Muestra'!$F$8:$F$42)-MIN(ROW('03.Muestra'!$D$8:$D$42))+1,""),ROW()-1500)),"")</f>
        <v/>
      </c>
      <c r="D1508" s="130" t="str">
        <f t="shared" si="79"/>
        <v/>
      </c>
      <c r="E1508" s="107" t="str">
        <f t="shared" si="78"/>
        <v/>
      </c>
      <c r="F1508" s="19"/>
      <c r="G1508" s="19"/>
      <c r="H1508" s="19"/>
      <c r="I1508" s="19"/>
      <c r="J1508" s="19"/>
      <c r="K1508" s="233"/>
      <c r="L1508" s="19"/>
    </row>
    <row r="1509" spans="1:12" ht="12" customHeight="1">
      <c r="A1509" s="219" t="str" cm="1">
        <f t="array" ref="A1509">IFERROR(INDEX('03.Muestra'!$B$8:$B$42,SMALL(IF("Página Web"='03.Muestra'!$D$8:$D$42,ROW('03.Muestra'!$B$8:$B$42)-MIN(ROW('03.Muestra'!$D$8:$D$42))+1,""),ROW()-1500)),"")</f>
        <v/>
      </c>
      <c r="B1509" s="114" t="str" cm="1">
        <f t="array" ref="B1509">IFERROR(INDEX('03.Muestra'!$C$8:$C$42,SMALL(IF("Página Web"='03.Muestra'!$D$8:$D$42,ROW('03.Muestra'!$C$8:$C$42)-MIN(ROW('03.Muestra'!$D$8:$D$42))+1,""),ROW()-1500)),"")</f>
        <v/>
      </c>
      <c r="C1509" s="114" t="str" cm="1">
        <f t="array" ref="C1509">IFERROR(INDEX('03.Muestra'!$F$8:$F$42,SMALL(IF("Página Web"='03.Muestra'!$D$8:$D$42,ROW('03.Muestra'!$F$8:$F$42)-MIN(ROW('03.Muestra'!$D$8:$D$42))+1,""),ROW()-1500)),"")</f>
        <v/>
      </c>
      <c r="D1509" s="130" t="str">
        <f t="shared" si="79"/>
        <v/>
      </c>
      <c r="E1509" s="107" t="str">
        <f t="shared" si="78"/>
        <v/>
      </c>
      <c r="F1509" s="19"/>
      <c r="G1509" s="19"/>
      <c r="H1509" s="19"/>
      <c r="I1509" s="19"/>
      <c r="J1509" s="19"/>
      <c r="K1509" s="233"/>
      <c r="L1509" s="19"/>
    </row>
    <row r="1510" spans="1:12" ht="12" customHeight="1">
      <c r="A1510" s="219" t="str" cm="1">
        <f t="array" ref="A1510">IFERROR(INDEX('03.Muestra'!$B$8:$B$42,SMALL(IF("Página Web"='03.Muestra'!$D$8:$D$42,ROW('03.Muestra'!$B$8:$B$42)-MIN(ROW('03.Muestra'!$D$8:$D$42))+1,""),ROW()-1500)),"")</f>
        <v/>
      </c>
      <c r="B1510" s="114" t="str" cm="1">
        <f t="array" ref="B1510">IFERROR(INDEX('03.Muestra'!$C$8:$C$42,SMALL(IF("Página Web"='03.Muestra'!$D$8:$D$42,ROW('03.Muestra'!$C$8:$C$42)-MIN(ROW('03.Muestra'!$D$8:$D$42))+1,""),ROW()-1500)),"")</f>
        <v/>
      </c>
      <c r="C1510" s="114" t="str" cm="1">
        <f t="array" ref="C1510">IFERROR(INDEX('03.Muestra'!$F$8:$F$42,SMALL(IF("Página Web"='03.Muestra'!$D$8:$D$42,ROW('03.Muestra'!$F$8:$F$42)-MIN(ROW('03.Muestra'!$D$8:$D$42))+1,""),ROW()-1500)),"")</f>
        <v/>
      </c>
      <c r="D1510" s="130" t="str">
        <f t="shared" si="79"/>
        <v/>
      </c>
      <c r="E1510" s="107" t="str">
        <f t="shared" si="78"/>
        <v/>
      </c>
      <c r="F1510" s="19"/>
      <c r="G1510" s="19"/>
      <c r="H1510" s="19"/>
      <c r="I1510" s="19"/>
      <c r="J1510" s="19"/>
      <c r="K1510" s="233"/>
      <c r="L1510" s="19"/>
    </row>
    <row r="1511" spans="1:12" ht="12" customHeight="1">
      <c r="A1511" s="219" t="str" cm="1">
        <f t="array" ref="A1511">IFERROR(INDEX('03.Muestra'!$B$8:$B$42,SMALL(IF("Página Web"='03.Muestra'!$D$8:$D$42,ROW('03.Muestra'!$B$8:$B$42)-MIN(ROW('03.Muestra'!$D$8:$D$42))+1,""),ROW()-1500)),"")</f>
        <v/>
      </c>
      <c r="B1511" s="114" t="str" cm="1">
        <f t="array" ref="B1511">IFERROR(INDEX('03.Muestra'!$C$8:$C$42,SMALL(IF("Página Web"='03.Muestra'!$D$8:$D$42,ROW('03.Muestra'!$C$8:$C$42)-MIN(ROW('03.Muestra'!$D$8:$D$42))+1,""),ROW()-1500)),"")</f>
        <v/>
      </c>
      <c r="C1511" s="114" t="str" cm="1">
        <f t="array" ref="C1511">IFERROR(INDEX('03.Muestra'!$F$8:$F$42,SMALL(IF("Página Web"='03.Muestra'!$D$8:$D$42,ROW('03.Muestra'!$F$8:$F$42)-MIN(ROW('03.Muestra'!$D$8:$D$42))+1,""),ROW()-1500)),"")</f>
        <v/>
      </c>
      <c r="D1511" s="130" t="str">
        <f t="shared" si="79"/>
        <v/>
      </c>
      <c r="E1511" s="107" t="str">
        <f t="shared" si="78"/>
        <v/>
      </c>
      <c r="F1511" s="19"/>
      <c r="G1511" s="19"/>
      <c r="H1511" s="19"/>
      <c r="I1511" s="19"/>
      <c r="J1511" s="19"/>
      <c r="K1511" s="233"/>
      <c r="L1511" s="19"/>
    </row>
    <row r="1512" spans="1:12" ht="12" customHeight="1">
      <c r="A1512" s="219" t="str" cm="1">
        <f t="array" ref="A1512">IFERROR(INDEX('03.Muestra'!$B$8:$B$42,SMALL(IF("Página Web"='03.Muestra'!$D$8:$D$42,ROW('03.Muestra'!$B$8:$B$42)-MIN(ROW('03.Muestra'!$D$8:$D$42))+1,""),ROW()-1500)),"")</f>
        <v/>
      </c>
      <c r="B1512" s="114" t="str" cm="1">
        <f t="array" ref="B1512">IFERROR(INDEX('03.Muestra'!$C$8:$C$42,SMALL(IF("Página Web"='03.Muestra'!$D$8:$D$42,ROW('03.Muestra'!$C$8:$C$42)-MIN(ROW('03.Muestra'!$D$8:$D$42))+1,""),ROW()-1500)),"")</f>
        <v/>
      </c>
      <c r="C1512" s="114" t="str" cm="1">
        <f t="array" ref="C1512">IFERROR(INDEX('03.Muestra'!$F$8:$F$42,SMALL(IF("Página Web"='03.Muestra'!$D$8:$D$42,ROW('03.Muestra'!$F$8:$F$42)-MIN(ROW('03.Muestra'!$D$8:$D$42))+1,""),ROW()-1500)),"")</f>
        <v/>
      </c>
      <c r="D1512" s="130" t="str">
        <f t="shared" si="79"/>
        <v/>
      </c>
      <c r="E1512" s="107" t="str">
        <f t="shared" si="78"/>
        <v/>
      </c>
      <c r="F1512" s="19"/>
      <c r="G1512" s="19"/>
      <c r="H1512" s="19"/>
      <c r="I1512" s="19"/>
      <c r="J1512" s="19"/>
      <c r="K1512" s="233"/>
      <c r="L1512" s="19"/>
    </row>
    <row r="1513" spans="1:12" ht="12" customHeight="1">
      <c r="A1513" s="219" t="str" cm="1">
        <f t="array" ref="A1513">IFERROR(INDEX('03.Muestra'!$B$8:$B$42,SMALL(IF("Página Web"='03.Muestra'!$D$8:$D$42,ROW('03.Muestra'!$B$8:$B$42)-MIN(ROW('03.Muestra'!$D$8:$D$42))+1,""),ROW()-1500)),"")</f>
        <v/>
      </c>
      <c r="B1513" s="114" t="str" cm="1">
        <f t="array" ref="B1513">IFERROR(INDEX('03.Muestra'!$C$8:$C$42,SMALL(IF("Página Web"='03.Muestra'!$D$8:$D$42,ROW('03.Muestra'!$C$8:$C$42)-MIN(ROW('03.Muestra'!$D$8:$D$42))+1,""),ROW()-1500)),"")</f>
        <v/>
      </c>
      <c r="C1513" s="114" t="str" cm="1">
        <f t="array" ref="C1513">IFERROR(INDEX('03.Muestra'!$F$8:$F$42,SMALL(IF("Página Web"='03.Muestra'!$D$8:$D$42,ROW('03.Muestra'!$F$8:$F$42)-MIN(ROW('03.Muestra'!$D$8:$D$42))+1,""),ROW()-1500)),"")</f>
        <v/>
      </c>
      <c r="D1513" s="130" t="str">
        <f t="shared" si="79"/>
        <v/>
      </c>
      <c r="E1513" s="107" t="str">
        <f t="shared" si="78"/>
        <v/>
      </c>
      <c r="F1513" s="19"/>
      <c r="G1513" s="19"/>
      <c r="H1513" s="19"/>
      <c r="I1513" s="19"/>
      <c r="J1513" s="19"/>
      <c r="K1513" s="233"/>
      <c r="L1513" s="19"/>
    </row>
    <row r="1514" spans="1:12" ht="12" customHeight="1">
      <c r="A1514" s="219" t="str" cm="1">
        <f t="array" ref="A1514">IFERROR(INDEX('03.Muestra'!$B$8:$B$42,SMALL(IF("Página Web"='03.Muestra'!$D$8:$D$42,ROW('03.Muestra'!$B$8:$B$42)-MIN(ROW('03.Muestra'!$D$8:$D$42))+1,""),ROW()-1500)),"")</f>
        <v/>
      </c>
      <c r="B1514" s="114" t="str" cm="1">
        <f t="array" ref="B1514">IFERROR(INDEX('03.Muestra'!$C$8:$C$42,SMALL(IF("Página Web"='03.Muestra'!$D$8:$D$42,ROW('03.Muestra'!$C$8:$C$42)-MIN(ROW('03.Muestra'!$D$8:$D$42))+1,""),ROW()-1500)),"")</f>
        <v/>
      </c>
      <c r="C1514" s="114" t="str" cm="1">
        <f t="array" ref="C1514">IFERROR(INDEX('03.Muestra'!$F$8:$F$42,SMALL(IF("Página Web"='03.Muestra'!$D$8:$D$42,ROW('03.Muestra'!$F$8:$F$42)-MIN(ROW('03.Muestra'!$D$8:$D$42))+1,""),ROW()-1500)),"")</f>
        <v/>
      </c>
      <c r="D1514" s="130" t="str">
        <f t="shared" si="79"/>
        <v/>
      </c>
      <c r="E1514" s="107" t="str">
        <f t="shared" si="78"/>
        <v/>
      </c>
      <c r="F1514" s="19"/>
      <c r="G1514" s="19"/>
      <c r="H1514" s="19"/>
      <c r="I1514" s="19"/>
      <c r="J1514" s="19"/>
      <c r="K1514" s="233"/>
      <c r="L1514" s="19"/>
    </row>
    <row r="1515" spans="1:12" ht="12" customHeight="1">
      <c r="A1515" s="219" t="str" cm="1">
        <f t="array" ref="A1515">IFERROR(INDEX('03.Muestra'!$B$8:$B$42,SMALL(IF("Página Web"='03.Muestra'!$D$8:$D$42,ROW('03.Muestra'!$B$8:$B$42)-MIN(ROW('03.Muestra'!$D$8:$D$42))+1,""),ROW()-1500)),"")</f>
        <v/>
      </c>
      <c r="B1515" s="114" t="str" cm="1">
        <f t="array" ref="B1515">IFERROR(INDEX('03.Muestra'!$C$8:$C$42,SMALL(IF("Página Web"='03.Muestra'!$D$8:$D$42,ROW('03.Muestra'!$C$8:$C$42)-MIN(ROW('03.Muestra'!$D$8:$D$42))+1,""),ROW()-1500)),"")</f>
        <v/>
      </c>
      <c r="C1515" s="114" t="str" cm="1">
        <f t="array" ref="C1515">IFERROR(INDEX('03.Muestra'!$F$8:$F$42,SMALL(IF("Página Web"='03.Muestra'!$D$8:$D$42,ROW('03.Muestra'!$F$8:$F$42)-MIN(ROW('03.Muestra'!$D$8:$D$42))+1,""),ROW()-1500)),"")</f>
        <v/>
      </c>
      <c r="D1515" s="130" t="str">
        <f t="shared" si="79"/>
        <v/>
      </c>
      <c r="E1515" s="107" t="str">
        <f t="shared" si="78"/>
        <v/>
      </c>
      <c r="F1515" s="19"/>
      <c r="G1515" s="19"/>
      <c r="H1515" s="19"/>
      <c r="I1515" s="19"/>
      <c r="J1515" s="19"/>
      <c r="K1515" s="233"/>
      <c r="L1515" s="19"/>
    </row>
    <row r="1516" spans="1:12" ht="12" customHeight="1">
      <c r="A1516" s="219" t="str" cm="1">
        <f t="array" ref="A1516">IFERROR(INDEX('03.Muestra'!$B$8:$B$42,SMALL(IF("Página Web"='03.Muestra'!$D$8:$D$42,ROW('03.Muestra'!$B$8:$B$42)-MIN(ROW('03.Muestra'!$D$8:$D$42))+1,""),ROW()-1500)),"")</f>
        <v/>
      </c>
      <c r="B1516" s="114" t="str" cm="1">
        <f t="array" ref="B1516">IFERROR(INDEX('03.Muestra'!$C$8:$C$42,SMALL(IF("Página Web"='03.Muestra'!$D$8:$D$42,ROW('03.Muestra'!$C$8:$C$42)-MIN(ROW('03.Muestra'!$D$8:$D$42))+1,""),ROW()-1500)),"")</f>
        <v/>
      </c>
      <c r="C1516" s="114" t="str" cm="1">
        <f t="array" ref="C1516">IFERROR(INDEX('03.Muestra'!$F$8:$F$42,SMALL(IF("Página Web"='03.Muestra'!$D$8:$D$42,ROW('03.Muestra'!$F$8:$F$42)-MIN(ROW('03.Muestra'!$D$8:$D$42))+1,""),ROW()-1500)),"")</f>
        <v/>
      </c>
      <c r="D1516" s="130" t="str">
        <f t="shared" si="79"/>
        <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si="79"/>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http://www.madrid.org/presupuestos</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Menu 1</v>
      </c>
      <c r="C1540" s="114" t="str" cm="1">
        <f t="array" ref="C1540">IFERROR(INDEX('03.Muestra'!$F$8:$F$42,SMALL(IF("Página Web"='03.Muestra'!$D$8:$D$42,ROW('03.Muestra'!$F$8:$F$42)-MIN(ROW('03.Muestra'!$D$8:$D$42))+1,""),ROW()-1538)),"")</f>
        <v>http://www.madrid.org/presupuestos/index.php/presupuestos-generales/presupuestos-cm/2022</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5</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Menu 2</v>
      </c>
      <c r="C1541" s="114" t="str" cm="1">
        <f t="array" ref="C1541">IFERROR(INDEX('03.Muestra'!$F$8:$F$42,SMALL(IF("Página Web"='03.Muestra'!$D$8:$D$42,ROW('03.Muestra'!$F$8:$F$42)-MIN(ROW('03.Muestra'!$D$8:$D$42))+1,""),ROW()-1538)),"")</f>
        <v>http://www.madrid.org/presupuestos/index.php/ejecucion-presupuestaria</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Menu 3</v>
      </c>
      <c r="C1542" s="114" t="str" cm="1">
        <f t="array" ref="C1542">IFERROR(INDEX('03.Muestra'!$F$8:$F$42,SMALL(IF("Página Web"='03.Muestra'!$D$8:$D$42,ROW('03.Muestra'!$F$8:$F$42)-MIN(ROW('03.Muestra'!$D$8:$D$42))+1,""),ROW()-1538)),"")</f>
        <v>http://www.madrid.org/presupuestos/index.php/transparencia</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Accesibilidad</v>
      </c>
      <c r="C1543" s="114" t="str" cm="1">
        <f t="array" ref="C1543">IFERROR(INDEX('03.Muestra'!$F$8:$F$42,SMALL(IF("Página Web"='03.Muestra'!$D$8:$D$42,ROW('03.Muestra'!$F$8:$F$42)-MIN(ROW('03.Muestra'!$D$8:$D$42))+1,""),ROW()-1538)),"")</f>
        <v>http://www.madrid.org/presupuestos/index.php/accesibilidad-web</v>
      </c>
      <c r="D1543" s="130" t="s">
        <v>26</v>
      </c>
      <c r="E1543" s="107" t="str">
        <f t="shared" si="80"/>
        <v/>
      </c>
      <c r="G1543" s="19"/>
      <c r="H1543" s="19"/>
      <c r="I1543" s="19"/>
      <c r="J1543" s="19"/>
      <c r="K1543" s="233"/>
    </row>
    <row r="1544" spans="1:12" ht="12" customHeight="1">
      <c r="A1544" s="219" t="str" cm="1">
        <f t="array" ref="A1544">IFERROR(INDEX('03.Muestra'!$B$8:$B$42,SMALL(IF("Página Web"='03.Muestra'!$D$8:$D$42,ROW('03.Muestra'!$B$8:$B$42)-MIN(ROW('03.Muestra'!$D$8:$D$42))+1,""),ROW()-1538)),"")</f>
        <v/>
      </c>
      <c r="B1544" s="114" t="str" cm="1">
        <f t="array" ref="B1544">IFERROR(INDEX('03.Muestra'!$C$8:$C$42,SMALL(IF("Página Web"='03.Muestra'!$D$8:$D$42,ROW('03.Muestra'!$C$8:$C$42)-MIN(ROW('03.Muestra'!$D$8:$D$42))+1,""),ROW()-1538)),"")</f>
        <v/>
      </c>
      <c r="C1544" s="114" t="str" cm="1">
        <f t="array" ref="C1544">IFERROR(INDEX('03.Muestra'!$F$8:$F$42,SMALL(IF("Página Web"='03.Muestra'!$D$8:$D$42,ROW('03.Muestra'!$F$8:$F$42)-MIN(ROW('03.Muestra'!$D$8:$D$42))+1,""),ROW()-1538)),"")</f>
        <v/>
      </c>
      <c r="D1544" s="130" t="str">
        <f t="shared" ref="D1544:D1573" si="81">IF(AND(B1544&lt;&gt;"",C1544&lt;&gt;""),"N/T","")</f>
        <v/>
      </c>
      <c r="E1544" s="107" t="str">
        <f t="shared" si="80"/>
        <v/>
      </c>
      <c r="G1544" s="19"/>
      <c r="H1544" s="19"/>
      <c r="I1544" s="19"/>
      <c r="J1544" s="19"/>
      <c r="K1544" s="233"/>
    </row>
    <row r="1545" spans="1:12" ht="12" customHeight="1">
      <c r="A1545" s="219" t="str" cm="1">
        <f t="array" ref="A1545">IFERROR(INDEX('03.Muestra'!$B$8:$B$42,SMALL(IF("Página Web"='03.Muestra'!$D$8:$D$42,ROW('03.Muestra'!$B$8:$B$42)-MIN(ROW('03.Muestra'!$D$8:$D$42))+1,""),ROW()-1538)),"")</f>
        <v/>
      </c>
      <c r="B1545" s="114" t="str" cm="1">
        <f t="array" ref="B1545">IFERROR(INDEX('03.Muestra'!$C$8:$C$42,SMALL(IF("Página Web"='03.Muestra'!$D$8:$D$42,ROW('03.Muestra'!$C$8:$C$42)-MIN(ROW('03.Muestra'!$D$8:$D$42))+1,""),ROW()-1538)),"")</f>
        <v/>
      </c>
      <c r="C1545" s="114" t="str" cm="1">
        <f t="array" ref="C1545">IFERROR(INDEX('03.Muestra'!$F$8:$F$42,SMALL(IF("Página Web"='03.Muestra'!$D$8:$D$42,ROW('03.Muestra'!$F$8:$F$42)-MIN(ROW('03.Muestra'!$D$8:$D$42))+1,""),ROW()-1538)),"")</f>
        <v/>
      </c>
      <c r="D1545" s="130" t="str">
        <f t="shared" si="81"/>
        <v/>
      </c>
      <c r="E1545" s="107" t="str">
        <f t="shared" si="80"/>
        <v/>
      </c>
      <c r="F1545" s="19"/>
      <c r="G1545" s="19"/>
      <c r="H1545" s="19"/>
      <c r="I1545" s="19"/>
      <c r="J1545" s="19"/>
      <c r="K1545" s="233"/>
    </row>
    <row r="1546" spans="1:12" ht="12" customHeight="1">
      <c r="A1546" s="219" t="str" cm="1">
        <f t="array" ref="A1546">IFERROR(INDEX('03.Muestra'!$B$8:$B$42,SMALL(IF("Página Web"='03.Muestra'!$D$8:$D$42,ROW('03.Muestra'!$B$8:$B$42)-MIN(ROW('03.Muestra'!$D$8:$D$42))+1,""),ROW()-1538)),"")</f>
        <v/>
      </c>
      <c r="B1546" s="114" t="str" cm="1">
        <f t="array" ref="B1546">IFERROR(INDEX('03.Muestra'!$C$8:$C$42,SMALL(IF("Página Web"='03.Muestra'!$D$8:$D$42,ROW('03.Muestra'!$C$8:$C$42)-MIN(ROW('03.Muestra'!$D$8:$D$42))+1,""),ROW()-1538)),"")</f>
        <v/>
      </c>
      <c r="C1546" s="114" t="str" cm="1">
        <f t="array" ref="C1546">IFERROR(INDEX('03.Muestra'!$F$8:$F$42,SMALL(IF("Página Web"='03.Muestra'!$D$8:$D$42,ROW('03.Muestra'!$F$8:$F$42)-MIN(ROW('03.Muestra'!$D$8:$D$42))+1,""),ROW()-1538)),"")</f>
        <v/>
      </c>
      <c r="D1546" s="130" t="str">
        <f t="shared" si="81"/>
        <v/>
      </c>
      <c r="E1546" s="107" t="str">
        <f t="shared" si="80"/>
        <v/>
      </c>
      <c r="F1546" s="19"/>
      <c r="G1546" s="19"/>
      <c r="H1546" s="19"/>
      <c r="I1546" s="19"/>
      <c r="J1546" s="19"/>
      <c r="K1546" s="233"/>
      <c r="L1546" s="19"/>
    </row>
    <row r="1547" spans="1:12" ht="12" customHeight="1">
      <c r="A1547" s="219" t="str" cm="1">
        <f t="array" ref="A1547">IFERROR(INDEX('03.Muestra'!$B$8:$B$42,SMALL(IF("Página Web"='03.Muestra'!$D$8:$D$42,ROW('03.Muestra'!$B$8:$B$42)-MIN(ROW('03.Muestra'!$D$8:$D$42))+1,""),ROW()-1538)),"")</f>
        <v/>
      </c>
      <c r="B1547" s="114" t="str" cm="1">
        <f t="array" ref="B1547">IFERROR(INDEX('03.Muestra'!$C$8:$C$42,SMALL(IF("Página Web"='03.Muestra'!$D$8:$D$42,ROW('03.Muestra'!$C$8:$C$42)-MIN(ROW('03.Muestra'!$D$8:$D$42))+1,""),ROW()-1538)),"")</f>
        <v/>
      </c>
      <c r="C1547" s="114" t="str" cm="1">
        <f t="array" ref="C1547">IFERROR(INDEX('03.Muestra'!$F$8:$F$42,SMALL(IF("Página Web"='03.Muestra'!$D$8:$D$42,ROW('03.Muestra'!$F$8:$F$42)-MIN(ROW('03.Muestra'!$D$8:$D$42))+1,""),ROW()-1538)),"")</f>
        <v/>
      </c>
      <c r="D1547" s="130" t="str">
        <f t="shared" si="81"/>
        <v/>
      </c>
      <c r="E1547" s="107" t="str">
        <f t="shared" si="80"/>
        <v/>
      </c>
      <c r="F1547" s="19"/>
      <c r="G1547" s="19"/>
      <c r="H1547" s="19"/>
      <c r="I1547" s="19"/>
      <c r="J1547" s="19"/>
      <c r="K1547" s="233"/>
      <c r="L1547" s="19"/>
    </row>
    <row r="1548" spans="1:12" ht="12" customHeight="1">
      <c r="A1548" s="219" t="str" cm="1">
        <f t="array" ref="A1548">IFERROR(INDEX('03.Muestra'!$B$8:$B$42,SMALL(IF("Página Web"='03.Muestra'!$D$8:$D$42,ROW('03.Muestra'!$B$8:$B$42)-MIN(ROW('03.Muestra'!$D$8:$D$42))+1,""),ROW()-1538)),"")</f>
        <v/>
      </c>
      <c r="B1548" s="114" t="str" cm="1">
        <f t="array" ref="B1548">IFERROR(INDEX('03.Muestra'!$C$8:$C$42,SMALL(IF("Página Web"='03.Muestra'!$D$8:$D$42,ROW('03.Muestra'!$C$8:$C$42)-MIN(ROW('03.Muestra'!$D$8:$D$42))+1,""),ROW()-1538)),"")</f>
        <v/>
      </c>
      <c r="C1548" s="114" t="str" cm="1">
        <f t="array" ref="C1548">IFERROR(INDEX('03.Muestra'!$F$8:$F$42,SMALL(IF("Página Web"='03.Muestra'!$D$8:$D$42,ROW('03.Muestra'!$F$8:$F$42)-MIN(ROW('03.Muestra'!$D$8:$D$42))+1,""),ROW()-1538)),"")</f>
        <v/>
      </c>
      <c r="D1548" s="130" t="str">
        <f t="shared" si="81"/>
        <v/>
      </c>
      <c r="E1548" s="107" t="str">
        <f t="shared" si="80"/>
        <v/>
      </c>
      <c r="F1548" s="19"/>
      <c r="G1548" s="19"/>
      <c r="H1548" s="19"/>
      <c r="I1548" s="19"/>
      <c r="J1548" s="19"/>
      <c r="K1548" s="233"/>
    </row>
    <row r="1549" spans="1:12" ht="12" customHeight="1">
      <c r="A1549" s="219" t="str" cm="1">
        <f t="array" ref="A1549">IFERROR(INDEX('03.Muestra'!$B$8:$B$42,SMALL(IF("Página Web"='03.Muestra'!$D$8:$D$42,ROW('03.Muestra'!$B$8:$B$42)-MIN(ROW('03.Muestra'!$D$8:$D$42))+1,""),ROW()-1538)),"")</f>
        <v/>
      </c>
      <c r="B1549" s="114" t="str" cm="1">
        <f t="array" ref="B1549">IFERROR(INDEX('03.Muestra'!$C$8:$C$42,SMALL(IF("Página Web"='03.Muestra'!$D$8:$D$42,ROW('03.Muestra'!$C$8:$C$42)-MIN(ROW('03.Muestra'!$D$8:$D$42))+1,""),ROW()-1538)),"")</f>
        <v/>
      </c>
      <c r="C1549" s="114" t="str" cm="1">
        <f t="array" ref="C1549">IFERROR(INDEX('03.Muestra'!$F$8:$F$42,SMALL(IF("Página Web"='03.Muestra'!$D$8:$D$42,ROW('03.Muestra'!$F$8:$F$42)-MIN(ROW('03.Muestra'!$D$8:$D$42))+1,""),ROW()-1538)),"")</f>
        <v/>
      </c>
      <c r="D1549" s="130" t="str">
        <f t="shared" si="81"/>
        <v/>
      </c>
      <c r="E1549" s="107" t="str">
        <f t="shared" si="80"/>
        <v/>
      </c>
      <c r="F1549" s="19"/>
      <c r="G1549" s="19"/>
      <c r="H1549" s="19"/>
      <c r="I1549" s="19"/>
      <c r="J1549" s="19"/>
      <c r="K1549" s="233"/>
    </row>
    <row r="1550" spans="1:12" ht="12" customHeight="1">
      <c r="A1550" s="219" t="str" cm="1">
        <f t="array" ref="A1550">IFERROR(INDEX('03.Muestra'!$B$8:$B$42,SMALL(IF("Página Web"='03.Muestra'!$D$8:$D$42,ROW('03.Muestra'!$B$8:$B$42)-MIN(ROW('03.Muestra'!$D$8:$D$42))+1,""),ROW()-1538)),"")</f>
        <v/>
      </c>
      <c r="B1550" s="114" t="str" cm="1">
        <f t="array" ref="B1550">IFERROR(INDEX('03.Muestra'!$C$8:$C$42,SMALL(IF("Página Web"='03.Muestra'!$D$8:$D$42,ROW('03.Muestra'!$C$8:$C$42)-MIN(ROW('03.Muestra'!$D$8:$D$42))+1,""),ROW()-1538)),"")</f>
        <v/>
      </c>
      <c r="C1550" s="114" t="str" cm="1">
        <f t="array" ref="C1550">IFERROR(INDEX('03.Muestra'!$F$8:$F$42,SMALL(IF("Página Web"='03.Muestra'!$D$8:$D$42,ROW('03.Muestra'!$F$8:$F$42)-MIN(ROW('03.Muestra'!$D$8:$D$42))+1,""),ROW()-1538)),"")</f>
        <v/>
      </c>
      <c r="D1550" s="130" t="str">
        <f t="shared" si="81"/>
        <v/>
      </c>
      <c r="E1550" s="107" t="str">
        <f t="shared" si="80"/>
        <v/>
      </c>
      <c r="F1550" s="19"/>
      <c r="G1550" s="19"/>
      <c r="H1550" s="19"/>
      <c r="I1550" s="19"/>
      <c r="J1550" s="19"/>
      <c r="K1550" s="233"/>
      <c r="L1550" s="19"/>
    </row>
    <row r="1551" spans="1:12" ht="12" customHeight="1">
      <c r="A1551" s="219" t="str" cm="1">
        <f t="array" ref="A1551">IFERROR(INDEX('03.Muestra'!$B$8:$B$42,SMALL(IF("Página Web"='03.Muestra'!$D$8:$D$42,ROW('03.Muestra'!$B$8:$B$42)-MIN(ROW('03.Muestra'!$D$8:$D$42))+1,""),ROW()-1538)),"")</f>
        <v/>
      </c>
      <c r="B1551" s="114" t="str" cm="1">
        <f t="array" ref="B1551">IFERROR(INDEX('03.Muestra'!$C$8:$C$42,SMALL(IF("Página Web"='03.Muestra'!$D$8:$D$42,ROW('03.Muestra'!$C$8:$C$42)-MIN(ROW('03.Muestra'!$D$8:$D$42))+1,""),ROW()-1538)),"")</f>
        <v/>
      </c>
      <c r="C1551" s="114" t="str" cm="1">
        <f t="array" ref="C1551">IFERROR(INDEX('03.Muestra'!$F$8:$F$42,SMALL(IF("Página Web"='03.Muestra'!$D$8:$D$42,ROW('03.Muestra'!$F$8:$F$42)-MIN(ROW('03.Muestra'!$D$8:$D$42))+1,""),ROW()-1538)),"")</f>
        <v/>
      </c>
      <c r="D1551" s="130" t="str">
        <f t="shared" si="81"/>
        <v/>
      </c>
      <c r="E1551" s="107" t="str">
        <f t="shared" si="80"/>
        <v/>
      </c>
      <c r="F1551" s="19"/>
      <c r="G1551" s="19"/>
      <c r="H1551" s="19"/>
      <c r="I1551" s="19"/>
      <c r="J1551" s="19"/>
      <c r="K1551" s="233"/>
      <c r="L1551" s="19"/>
    </row>
    <row r="1552" spans="1:12" ht="12" customHeight="1">
      <c r="A1552" s="219" t="str" cm="1">
        <f t="array" ref="A1552">IFERROR(INDEX('03.Muestra'!$B$8:$B$42,SMALL(IF("Página Web"='03.Muestra'!$D$8:$D$42,ROW('03.Muestra'!$B$8:$B$42)-MIN(ROW('03.Muestra'!$D$8:$D$42))+1,""),ROW()-1538)),"")</f>
        <v/>
      </c>
      <c r="B1552" s="114" t="str" cm="1">
        <f t="array" ref="B1552">IFERROR(INDEX('03.Muestra'!$C$8:$C$42,SMALL(IF("Página Web"='03.Muestra'!$D$8:$D$42,ROW('03.Muestra'!$C$8:$C$42)-MIN(ROW('03.Muestra'!$D$8:$D$42))+1,""),ROW()-1538)),"")</f>
        <v/>
      </c>
      <c r="C1552" s="114" t="str" cm="1">
        <f t="array" ref="C1552">IFERROR(INDEX('03.Muestra'!$F$8:$F$42,SMALL(IF("Página Web"='03.Muestra'!$D$8:$D$42,ROW('03.Muestra'!$F$8:$F$42)-MIN(ROW('03.Muestra'!$D$8:$D$42))+1,""),ROW()-1538)),"")</f>
        <v/>
      </c>
      <c r="D1552" s="130" t="str">
        <f t="shared" si="81"/>
        <v/>
      </c>
      <c r="E1552" s="107" t="str">
        <f t="shared" si="80"/>
        <v/>
      </c>
      <c r="F1552" s="19"/>
      <c r="G1552" s="19"/>
      <c r="H1552" s="19"/>
      <c r="I1552" s="19"/>
      <c r="J1552" s="19"/>
      <c r="K1552" s="233"/>
      <c r="L1552" s="19"/>
    </row>
    <row r="1553" spans="1:12" ht="12" customHeight="1">
      <c r="A1553" s="219" t="str" cm="1">
        <f t="array" ref="A1553">IFERROR(INDEX('03.Muestra'!$B$8:$B$42,SMALL(IF("Página Web"='03.Muestra'!$D$8:$D$42,ROW('03.Muestra'!$B$8:$B$42)-MIN(ROW('03.Muestra'!$D$8:$D$42))+1,""),ROW()-1538)),"")</f>
        <v/>
      </c>
      <c r="B1553" s="114" t="str" cm="1">
        <f t="array" ref="B1553">IFERROR(INDEX('03.Muestra'!$C$8:$C$42,SMALL(IF("Página Web"='03.Muestra'!$D$8:$D$42,ROW('03.Muestra'!$C$8:$C$42)-MIN(ROW('03.Muestra'!$D$8:$D$42))+1,""),ROW()-1538)),"")</f>
        <v/>
      </c>
      <c r="C1553" s="114" t="str" cm="1">
        <f t="array" ref="C1553">IFERROR(INDEX('03.Muestra'!$F$8:$F$42,SMALL(IF("Página Web"='03.Muestra'!$D$8:$D$42,ROW('03.Muestra'!$F$8:$F$42)-MIN(ROW('03.Muestra'!$D$8:$D$42))+1,""),ROW()-1538)),"")</f>
        <v/>
      </c>
      <c r="D1553" s="130" t="str">
        <f t="shared" si="81"/>
        <v/>
      </c>
      <c r="E1553" s="107" t="str">
        <f t="shared" si="80"/>
        <v/>
      </c>
      <c r="F1553" s="19"/>
      <c r="G1553" s="19"/>
      <c r="H1553" s="19"/>
      <c r="I1553" s="19"/>
      <c r="J1553" s="19"/>
      <c r="K1553" s="233"/>
      <c r="L1553" s="19"/>
    </row>
    <row r="1554" spans="1:12" ht="12" customHeight="1">
      <c r="A1554" s="219" t="str" cm="1">
        <f t="array" ref="A1554">IFERROR(INDEX('03.Muestra'!$B$8:$B$42,SMALL(IF("Página Web"='03.Muestra'!$D$8:$D$42,ROW('03.Muestra'!$B$8:$B$42)-MIN(ROW('03.Muestra'!$D$8:$D$42))+1,""),ROW()-1538)),"")</f>
        <v/>
      </c>
      <c r="B1554" s="114" t="str" cm="1">
        <f t="array" ref="B1554">IFERROR(INDEX('03.Muestra'!$C$8:$C$42,SMALL(IF("Página Web"='03.Muestra'!$D$8:$D$42,ROW('03.Muestra'!$C$8:$C$42)-MIN(ROW('03.Muestra'!$D$8:$D$42))+1,""),ROW()-1538)),"")</f>
        <v/>
      </c>
      <c r="C1554" s="114" t="str" cm="1">
        <f t="array" ref="C1554">IFERROR(INDEX('03.Muestra'!$F$8:$F$42,SMALL(IF("Página Web"='03.Muestra'!$D$8:$D$42,ROW('03.Muestra'!$F$8:$F$42)-MIN(ROW('03.Muestra'!$D$8:$D$42))+1,""),ROW()-1538)),"")</f>
        <v/>
      </c>
      <c r="D1554" s="130" t="str">
        <f t="shared" si="81"/>
        <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si="81"/>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http://www.madrid.org/presupuestos</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Menu 1</v>
      </c>
      <c r="C1578" s="114" t="str" cm="1">
        <f t="array" ref="C1578">IFERROR(INDEX('03.Muestra'!$F$8:$F$42,SMALL(IF("Página Web"='03.Muestra'!$D$8:$D$42,ROW('03.Muestra'!$F$8:$F$42)-MIN(ROW('03.Muestra'!$D$8:$D$42))+1,""),ROW()-1576)),"")</f>
        <v>http://www.madrid.org/presupuestos/index.php/presupuestos-generales/presupuestos-cm/2022</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5</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Menu 2</v>
      </c>
      <c r="C1579" s="114" t="str" cm="1">
        <f t="array" ref="C1579">IFERROR(INDEX('03.Muestra'!$F$8:$F$42,SMALL(IF("Página Web"='03.Muestra'!$D$8:$D$42,ROW('03.Muestra'!$F$8:$F$42)-MIN(ROW('03.Muestra'!$D$8:$D$42))+1,""),ROW()-1576)),"")</f>
        <v>http://www.madrid.org/presupuestos/index.php/ejecucion-presupuestaria</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Menu 3</v>
      </c>
      <c r="C1580" s="114" t="str" cm="1">
        <f t="array" ref="C1580">IFERROR(INDEX('03.Muestra'!$F$8:$F$42,SMALL(IF("Página Web"='03.Muestra'!$D$8:$D$42,ROW('03.Muestra'!$F$8:$F$42)-MIN(ROW('03.Muestra'!$D$8:$D$42))+1,""),ROW()-1576)),"")</f>
        <v>http://www.madrid.org/presupuestos/index.php/transparencia</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Accesibilidad</v>
      </c>
      <c r="C1581" s="114" t="str" cm="1">
        <f t="array" ref="C1581">IFERROR(INDEX('03.Muestra'!$F$8:$F$42,SMALL(IF("Página Web"='03.Muestra'!$D$8:$D$42,ROW('03.Muestra'!$F$8:$F$42)-MIN(ROW('03.Muestra'!$D$8:$D$42))+1,""),ROW()-1576)),"")</f>
        <v>http://www.madrid.org/presupuestos/index.php/accesibilidad-web</v>
      </c>
      <c r="D1581" s="130" t="s">
        <v>26</v>
      </c>
      <c r="E1581" s="107" t="str">
        <f t="shared" si="82"/>
        <v/>
      </c>
      <c r="G1581" s="19"/>
      <c r="H1581" s="19"/>
      <c r="I1581" s="19"/>
      <c r="J1581" s="19"/>
      <c r="K1581" s="233"/>
      <c r="L1581" s="19"/>
    </row>
    <row r="1582" spans="1:12" ht="12" customHeight="1">
      <c r="A1582" s="219" t="str" cm="1">
        <f t="array" ref="A1582">IFERROR(INDEX('03.Muestra'!$B$8:$B$42,SMALL(IF("Página Web"='03.Muestra'!$D$8:$D$42,ROW('03.Muestra'!$B$8:$B$42)-MIN(ROW('03.Muestra'!$D$8:$D$42))+1,""),ROW()-1576)),"")</f>
        <v/>
      </c>
      <c r="B1582" s="114" t="str" cm="1">
        <f t="array" ref="B1582">IFERROR(INDEX('03.Muestra'!$C$8:$C$42,SMALL(IF("Página Web"='03.Muestra'!$D$8:$D$42,ROW('03.Muestra'!$C$8:$C$42)-MIN(ROW('03.Muestra'!$D$8:$D$42))+1,""),ROW()-1576)),"")</f>
        <v/>
      </c>
      <c r="C1582" s="114" t="str" cm="1">
        <f t="array" ref="C1582">IFERROR(INDEX('03.Muestra'!$F$8:$F$42,SMALL(IF("Página Web"='03.Muestra'!$D$8:$D$42,ROW('03.Muestra'!$F$8:$F$42)-MIN(ROW('03.Muestra'!$D$8:$D$42))+1,""),ROW()-1576)),"")</f>
        <v/>
      </c>
      <c r="D1582" s="130"/>
      <c r="E1582" s="107" t="str">
        <f t="shared" si="82"/>
        <v/>
      </c>
      <c r="G1582" s="19"/>
      <c r="H1582" s="19"/>
      <c r="I1582" s="19"/>
      <c r="J1582" s="19"/>
      <c r="K1582" s="233"/>
      <c r="L1582" s="19"/>
    </row>
    <row r="1583" spans="1:12" ht="12" customHeight="1">
      <c r="A1583" s="219" t="str" cm="1">
        <f t="array" ref="A1583">IFERROR(INDEX('03.Muestra'!$B$8:$B$42,SMALL(IF("Página Web"='03.Muestra'!$D$8:$D$42,ROW('03.Muestra'!$B$8:$B$42)-MIN(ROW('03.Muestra'!$D$8:$D$42))+1,""),ROW()-1576)),"")</f>
        <v/>
      </c>
      <c r="B1583" s="114" t="str" cm="1">
        <f t="array" ref="B1583">IFERROR(INDEX('03.Muestra'!$C$8:$C$42,SMALL(IF("Página Web"='03.Muestra'!$D$8:$D$42,ROW('03.Muestra'!$C$8:$C$42)-MIN(ROW('03.Muestra'!$D$8:$D$42))+1,""),ROW()-1576)),"")</f>
        <v/>
      </c>
      <c r="C1583" s="114" t="str" cm="1">
        <f t="array" ref="C1583">IFERROR(INDEX('03.Muestra'!$F$8:$F$42,SMALL(IF("Página Web"='03.Muestra'!$D$8:$D$42,ROW('03.Muestra'!$F$8:$F$42)-MIN(ROW('03.Muestra'!$D$8:$D$42))+1,""),ROW()-1576)),"")</f>
        <v/>
      </c>
      <c r="D1583" s="130" t="str">
        <f t="shared" ref="D1583:D1611" si="83">IF(AND(B1583&lt;&gt;"",C1583&lt;&gt;""),"N/T","")</f>
        <v/>
      </c>
      <c r="E1583" s="107" t="str">
        <f t="shared" si="82"/>
        <v/>
      </c>
      <c r="F1583" s="19"/>
      <c r="G1583" s="19"/>
      <c r="H1583" s="19"/>
      <c r="I1583" s="19"/>
      <c r="J1583" s="19"/>
      <c r="K1583" s="233"/>
      <c r="L1583" s="19"/>
    </row>
    <row r="1584" spans="1:12" ht="12" customHeight="1">
      <c r="A1584" s="219" t="str" cm="1">
        <f t="array" ref="A1584">IFERROR(INDEX('03.Muestra'!$B$8:$B$42,SMALL(IF("Página Web"='03.Muestra'!$D$8:$D$42,ROW('03.Muestra'!$B$8:$B$42)-MIN(ROW('03.Muestra'!$D$8:$D$42))+1,""),ROW()-1576)),"")</f>
        <v/>
      </c>
      <c r="B1584" s="114" t="str" cm="1">
        <f t="array" ref="B1584">IFERROR(INDEX('03.Muestra'!$C$8:$C$42,SMALL(IF("Página Web"='03.Muestra'!$D$8:$D$42,ROW('03.Muestra'!$C$8:$C$42)-MIN(ROW('03.Muestra'!$D$8:$D$42))+1,""),ROW()-1576)),"")</f>
        <v/>
      </c>
      <c r="C1584" s="114" t="str" cm="1">
        <f t="array" ref="C1584">IFERROR(INDEX('03.Muestra'!$F$8:$F$42,SMALL(IF("Página Web"='03.Muestra'!$D$8:$D$42,ROW('03.Muestra'!$F$8:$F$42)-MIN(ROW('03.Muestra'!$D$8:$D$42))+1,""),ROW()-1576)),"")</f>
        <v/>
      </c>
      <c r="D1584" s="130" t="str">
        <f t="shared" si="83"/>
        <v/>
      </c>
      <c r="E1584" s="107" t="str">
        <f t="shared" si="82"/>
        <v/>
      </c>
      <c r="F1584" s="19"/>
      <c r="G1584" s="19"/>
      <c r="H1584" s="19"/>
      <c r="I1584" s="19"/>
      <c r="J1584" s="19"/>
      <c r="K1584" s="233"/>
      <c r="L1584" s="19"/>
    </row>
    <row r="1585" spans="1:12" ht="12" customHeight="1">
      <c r="A1585" s="219" t="str" cm="1">
        <f t="array" ref="A1585">IFERROR(INDEX('03.Muestra'!$B$8:$B$42,SMALL(IF("Página Web"='03.Muestra'!$D$8:$D$42,ROW('03.Muestra'!$B$8:$B$42)-MIN(ROW('03.Muestra'!$D$8:$D$42))+1,""),ROW()-1576)),"")</f>
        <v/>
      </c>
      <c r="B1585" s="114" t="str" cm="1">
        <f t="array" ref="B1585">IFERROR(INDEX('03.Muestra'!$C$8:$C$42,SMALL(IF("Página Web"='03.Muestra'!$D$8:$D$42,ROW('03.Muestra'!$C$8:$C$42)-MIN(ROW('03.Muestra'!$D$8:$D$42))+1,""),ROW()-1576)),"")</f>
        <v/>
      </c>
      <c r="C1585" s="114" t="str" cm="1">
        <f t="array" ref="C1585">IFERROR(INDEX('03.Muestra'!$F$8:$F$42,SMALL(IF("Página Web"='03.Muestra'!$D$8:$D$42,ROW('03.Muestra'!$F$8:$F$42)-MIN(ROW('03.Muestra'!$D$8:$D$42))+1,""),ROW()-1576)),"")</f>
        <v/>
      </c>
      <c r="D1585" s="130" t="str">
        <f t="shared" si="83"/>
        <v/>
      </c>
      <c r="E1585" s="107" t="str">
        <f t="shared" si="82"/>
        <v/>
      </c>
      <c r="F1585" s="19"/>
      <c r="G1585" s="19"/>
      <c r="H1585" s="19"/>
      <c r="I1585" s="19"/>
      <c r="J1585" s="19"/>
      <c r="K1585" s="233"/>
      <c r="L1585" s="19"/>
    </row>
    <row r="1586" spans="1:12" ht="12" customHeight="1">
      <c r="A1586" s="219" t="str" cm="1">
        <f t="array" ref="A1586">IFERROR(INDEX('03.Muestra'!$B$8:$B$42,SMALL(IF("Página Web"='03.Muestra'!$D$8:$D$42,ROW('03.Muestra'!$B$8:$B$42)-MIN(ROW('03.Muestra'!$D$8:$D$42))+1,""),ROW()-1576)),"")</f>
        <v/>
      </c>
      <c r="B1586" s="114" t="str" cm="1">
        <f t="array" ref="B1586">IFERROR(INDEX('03.Muestra'!$C$8:$C$42,SMALL(IF("Página Web"='03.Muestra'!$D$8:$D$42,ROW('03.Muestra'!$C$8:$C$42)-MIN(ROW('03.Muestra'!$D$8:$D$42))+1,""),ROW()-1576)),"")</f>
        <v/>
      </c>
      <c r="C1586" s="114" t="str" cm="1">
        <f t="array" ref="C1586">IFERROR(INDEX('03.Muestra'!$F$8:$F$42,SMALL(IF("Página Web"='03.Muestra'!$D$8:$D$42,ROW('03.Muestra'!$F$8:$F$42)-MIN(ROW('03.Muestra'!$D$8:$D$42))+1,""),ROW()-1576)),"")</f>
        <v/>
      </c>
      <c r="D1586" s="130" t="str">
        <f t="shared" si="83"/>
        <v/>
      </c>
      <c r="E1586" s="107" t="str">
        <f t="shared" si="82"/>
        <v/>
      </c>
      <c r="F1586" s="19"/>
      <c r="G1586" s="19"/>
      <c r="H1586" s="19"/>
      <c r="I1586" s="19"/>
      <c r="J1586" s="19"/>
      <c r="K1586" s="233"/>
      <c r="L1586" s="19"/>
    </row>
    <row r="1587" spans="1:12" ht="12" customHeight="1">
      <c r="A1587" s="219" t="str" cm="1">
        <f t="array" ref="A1587">IFERROR(INDEX('03.Muestra'!$B$8:$B$42,SMALL(IF("Página Web"='03.Muestra'!$D$8:$D$42,ROW('03.Muestra'!$B$8:$B$42)-MIN(ROW('03.Muestra'!$D$8:$D$42))+1,""),ROW()-1576)),"")</f>
        <v/>
      </c>
      <c r="B1587" s="114" t="str" cm="1">
        <f t="array" ref="B1587">IFERROR(INDEX('03.Muestra'!$C$8:$C$42,SMALL(IF("Página Web"='03.Muestra'!$D$8:$D$42,ROW('03.Muestra'!$C$8:$C$42)-MIN(ROW('03.Muestra'!$D$8:$D$42))+1,""),ROW()-1576)),"")</f>
        <v/>
      </c>
      <c r="C1587" s="114" t="str" cm="1">
        <f t="array" ref="C1587">IFERROR(INDEX('03.Muestra'!$F$8:$F$42,SMALL(IF("Página Web"='03.Muestra'!$D$8:$D$42,ROW('03.Muestra'!$F$8:$F$42)-MIN(ROW('03.Muestra'!$D$8:$D$42))+1,""),ROW()-1576)),"")</f>
        <v/>
      </c>
      <c r="D1587" s="130" t="str">
        <f t="shared" si="83"/>
        <v/>
      </c>
      <c r="E1587" s="107" t="str">
        <f t="shared" si="82"/>
        <v/>
      </c>
      <c r="F1587" s="19"/>
      <c r="G1587" s="19"/>
      <c r="H1587" s="19"/>
      <c r="I1587" s="19"/>
      <c r="J1587" s="19"/>
      <c r="K1587" s="233"/>
      <c r="L1587" s="19"/>
    </row>
    <row r="1588" spans="1:12" ht="12" customHeight="1">
      <c r="A1588" s="219" t="str" cm="1">
        <f t="array" ref="A1588">IFERROR(INDEX('03.Muestra'!$B$8:$B$42,SMALL(IF("Página Web"='03.Muestra'!$D$8:$D$42,ROW('03.Muestra'!$B$8:$B$42)-MIN(ROW('03.Muestra'!$D$8:$D$42))+1,""),ROW()-1576)),"")</f>
        <v/>
      </c>
      <c r="B1588" s="114" t="str" cm="1">
        <f t="array" ref="B1588">IFERROR(INDEX('03.Muestra'!$C$8:$C$42,SMALL(IF("Página Web"='03.Muestra'!$D$8:$D$42,ROW('03.Muestra'!$C$8:$C$42)-MIN(ROW('03.Muestra'!$D$8:$D$42))+1,""),ROW()-1576)),"")</f>
        <v/>
      </c>
      <c r="C1588" s="114" t="str" cm="1">
        <f t="array" ref="C1588">IFERROR(INDEX('03.Muestra'!$F$8:$F$42,SMALL(IF("Página Web"='03.Muestra'!$D$8:$D$42,ROW('03.Muestra'!$F$8:$F$42)-MIN(ROW('03.Muestra'!$D$8:$D$42))+1,""),ROW()-1576)),"")</f>
        <v/>
      </c>
      <c r="D1588" s="130" t="str">
        <f t="shared" si="83"/>
        <v/>
      </c>
      <c r="E1588" s="107" t="str">
        <f t="shared" si="82"/>
        <v/>
      </c>
      <c r="F1588" s="19"/>
      <c r="G1588" s="19"/>
      <c r="H1588" s="19"/>
      <c r="I1588" s="19"/>
      <c r="J1588" s="19"/>
      <c r="K1588" s="233"/>
      <c r="L1588" s="19"/>
    </row>
    <row r="1589" spans="1:12" ht="12" customHeight="1">
      <c r="A1589" s="219" t="str" cm="1">
        <f t="array" ref="A1589">IFERROR(INDEX('03.Muestra'!$B$8:$B$42,SMALL(IF("Página Web"='03.Muestra'!$D$8:$D$42,ROW('03.Muestra'!$B$8:$B$42)-MIN(ROW('03.Muestra'!$D$8:$D$42))+1,""),ROW()-1576)),"")</f>
        <v/>
      </c>
      <c r="B1589" s="114" t="str" cm="1">
        <f t="array" ref="B1589">IFERROR(INDEX('03.Muestra'!$C$8:$C$42,SMALL(IF("Página Web"='03.Muestra'!$D$8:$D$42,ROW('03.Muestra'!$C$8:$C$42)-MIN(ROW('03.Muestra'!$D$8:$D$42))+1,""),ROW()-1576)),"")</f>
        <v/>
      </c>
      <c r="C1589" s="114" t="str" cm="1">
        <f t="array" ref="C1589">IFERROR(INDEX('03.Muestra'!$F$8:$F$42,SMALL(IF("Página Web"='03.Muestra'!$D$8:$D$42,ROW('03.Muestra'!$F$8:$F$42)-MIN(ROW('03.Muestra'!$D$8:$D$42))+1,""),ROW()-1576)),"")</f>
        <v/>
      </c>
      <c r="D1589" s="130" t="str">
        <f t="shared" si="83"/>
        <v/>
      </c>
      <c r="E1589" s="107" t="str">
        <f t="shared" si="82"/>
        <v/>
      </c>
      <c r="F1589" s="19"/>
      <c r="G1589" s="19"/>
      <c r="H1589" s="19"/>
      <c r="I1589" s="19"/>
      <c r="J1589" s="19"/>
      <c r="K1589" s="233"/>
      <c r="L1589" s="19"/>
    </row>
    <row r="1590" spans="1:12" ht="12" customHeight="1">
      <c r="A1590" s="219" t="str" cm="1">
        <f t="array" ref="A1590">IFERROR(INDEX('03.Muestra'!$B$8:$B$42,SMALL(IF("Página Web"='03.Muestra'!$D$8:$D$42,ROW('03.Muestra'!$B$8:$B$42)-MIN(ROW('03.Muestra'!$D$8:$D$42))+1,""),ROW()-1576)),"")</f>
        <v/>
      </c>
      <c r="B1590" s="114" t="str" cm="1">
        <f t="array" ref="B1590">IFERROR(INDEX('03.Muestra'!$C$8:$C$42,SMALL(IF("Página Web"='03.Muestra'!$D$8:$D$42,ROW('03.Muestra'!$C$8:$C$42)-MIN(ROW('03.Muestra'!$D$8:$D$42))+1,""),ROW()-1576)),"")</f>
        <v/>
      </c>
      <c r="C1590" s="114" t="str" cm="1">
        <f t="array" ref="C1590">IFERROR(INDEX('03.Muestra'!$F$8:$F$42,SMALL(IF("Página Web"='03.Muestra'!$D$8:$D$42,ROW('03.Muestra'!$F$8:$F$42)-MIN(ROW('03.Muestra'!$D$8:$D$42))+1,""),ROW()-1576)),"")</f>
        <v/>
      </c>
      <c r="D1590" s="130" t="str">
        <f t="shared" si="83"/>
        <v/>
      </c>
      <c r="E1590" s="107" t="str">
        <f t="shared" si="82"/>
        <v/>
      </c>
      <c r="F1590" s="19"/>
      <c r="G1590" s="19"/>
      <c r="H1590" s="19"/>
      <c r="I1590" s="19"/>
      <c r="J1590" s="19"/>
      <c r="K1590" s="233"/>
      <c r="L1590" s="19"/>
    </row>
    <row r="1591" spans="1:12" ht="12" customHeight="1">
      <c r="A1591" s="219" t="str" cm="1">
        <f t="array" ref="A1591">IFERROR(INDEX('03.Muestra'!$B$8:$B$42,SMALL(IF("Página Web"='03.Muestra'!$D$8:$D$42,ROW('03.Muestra'!$B$8:$B$42)-MIN(ROW('03.Muestra'!$D$8:$D$42))+1,""),ROW()-1576)),"")</f>
        <v/>
      </c>
      <c r="B1591" s="114" t="str" cm="1">
        <f t="array" ref="B1591">IFERROR(INDEX('03.Muestra'!$C$8:$C$42,SMALL(IF("Página Web"='03.Muestra'!$D$8:$D$42,ROW('03.Muestra'!$C$8:$C$42)-MIN(ROW('03.Muestra'!$D$8:$D$42))+1,""),ROW()-1576)),"")</f>
        <v/>
      </c>
      <c r="C1591" s="114" t="str" cm="1">
        <f t="array" ref="C1591">IFERROR(INDEX('03.Muestra'!$F$8:$F$42,SMALL(IF("Página Web"='03.Muestra'!$D$8:$D$42,ROW('03.Muestra'!$F$8:$F$42)-MIN(ROW('03.Muestra'!$D$8:$D$42))+1,""),ROW()-1576)),"")</f>
        <v/>
      </c>
      <c r="D1591" s="130" t="str">
        <f t="shared" si="83"/>
        <v/>
      </c>
      <c r="E1591" s="107" t="str">
        <f t="shared" si="82"/>
        <v/>
      </c>
      <c r="F1591" s="19"/>
      <c r="G1591" s="19"/>
      <c r="H1591" s="19"/>
      <c r="I1591" s="19"/>
      <c r="J1591" s="19"/>
      <c r="K1591" s="233"/>
      <c r="L1591" s="19"/>
    </row>
    <row r="1592" spans="1:12" ht="12" customHeight="1">
      <c r="A1592" s="219" t="str" cm="1">
        <f t="array" ref="A1592">IFERROR(INDEX('03.Muestra'!$B$8:$B$42,SMALL(IF("Página Web"='03.Muestra'!$D$8:$D$42,ROW('03.Muestra'!$B$8:$B$42)-MIN(ROW('03.Muestra'!$D$8:$D$42))+1,""),ROW()-1576)),"")</f>
        <v/>
      </c>
      <c r="B1592" s="114" t="str" cm="1">
        <f t="array" ref="B1592">IFERROR(INDEX('03.Muestra'!$C$8:$C$42,SMALL(IF("Página Web"='03.Muestra'!$D$8:$D$42,ROW('03.Muestra'!$C$8:$C$42)-MIN(ROW('03.Muestra'!$D$8:$D$42))+1,""),ROW()-1576)),"")</f>
        <v/>
      </c>
      <c r="C1592" s="114" t="str" cm="1">
        <f t="array" ref="C1592">IFERROR(INDEX('03.Muestra'!$F$8:$F$42,SMALL(IF("Página Web"='03.Muestra'!$D$8:$D$42,ROW('03.Muestra'!$F$8:$F$42)-MIN(ROW('03.Muestra'!$D$8:$D$42))+1,""),ROW()-1576)),"")</f>
        <v/>
      </c>
      <c r="D1592" s="130" t="str">
        <f t="shared" si="83"/>
        <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si="83"/>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http://www.madrid.org/presupuestos</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Menu 1</v>
      </c>
      <c r="C1616" s="114" t="str" cm="1">
        <f t="array" ref="C1616">IFERROR(INDEX('03.Muestra'!$F$8:$F$42,SMALL(IF("Página Web"='03.Muestra'!$D$8:$D$42,ROW('03.Muestra'!$F$8:$F$42)-MIN(ROW('03.Muestra'!$D$8:$D$42))+1,""),ROW()-1614)),"")</f>
        <v>http://www.madrid.org/presupuestos/index.php/presupuestos-generales/presupuestos-cm/2022</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5</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Menu 2</v>
      </c>
      <c r="C1617" s="114" t="str" cm="1">
        <f t="array" ref="C1617">IFERROR(INDEX('03.Muestra'!$F$8:$F$42,SMALL(IF("Página Web"='03.Muestra'!$D$8:$D$42,ROW('03.Muestra'!$F$8:$F$42)-MIN(ROW('03.Muestra'!$D$8:$D$42))+1,""),ROW()-1614)),"")</f>
        <v>http://www.madrid.org/presupuestos/index.php/ejecucion-presupuestaria</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Menu 3</v>
      </c>
      <c r="C1618" s="114" t="str" cm="1">
        <f t="array" ref="C1618">IFERROR(INDEX('03.Muestra'!$F$8:$F$42,SMALL(IF("Página Web"='03.Muestra'!$D$8:$D$42,ROW('03.Muestra'!$F$8:$F$42)-MIN(ROW('03.Muestra'!$D$8:$D$42))+1,""),ROW()-1614)),"")</f>
        <v>http://www.madrid.org/presupuestos/index.php/transparencia</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Accesibilidad</v>
      </c>
      <c r="C1619" s="114" t="str" cm="1">
        <f t="array" ref="C1619">IFERROR(INDEX('03.Muestra'!$F$8:$F$42,SMALL(IF("Página Web"='03.Muestra'!$D$8:$D$42,ROW('03.Muestra'!$F$8:$F$42)-MIN(ROW('03.Muestra'!$D$8:$D$42))+1,""),ROW()-1614)),"")</f>
        <v>http://www.madrid.org/presupuestos/index.php/accesibilidad-web</v>
      </c>
      <c r="D1619" s="130" t="s">
        <v>35</v>
      </c>
      <c r="E1619" s="107" t="str">
        <f t="shared" si="84"/>
        <v/>
      </c>
      <c r="G1619" s="19"/>
      <c r="H1619" s="19"/>
      <c r="I1619" s="19"/>
      <c r="J1619" s="19"/>
      <c r="K1619" s="233"/>
    </row>
    <row r="1620" spans="1:11" ht="12" customHeight="1">
      <c r="A1620" s="219" t="str" cm="1">
        <f t="array" ref="A1620">IFERROR(INDEX('03.Muestra'!$B$8:$B$42,SMALL(IF("Página Web"='03.Muestra'!$D$8:$D$42,ROW('03.Muestra'!$B$8:$B$42)-MIN(ROW('03.Muestra'!$D$8:$D$42))+1,""),ROW()-1614)),"")</f>
        <v/>
      </c>
      <c r="B1620" s="114" t="str" cm="1">
        <f t="array" ref="B1620">IFERROR(INDEX('03.Muestra'!$C$8:$C$42,SMALL(IF("Página Web"='03.Muestra'!$D$8:$D$42,ROW('03.Muestra'!$C$8:$C$42)-MIN(ROW('03.Muestra'!$D$8:$D$42))+1,""),ROW()-1614)),"")</f>
        <v/>
      </c>
      <c r="C1620" s="114" t="str" cm="1">
        <f t="array" ref="C1620">IFERROR(INDEX('03.Muestra'!$F$8:$F$42,SMALL(IF("Página Web"='03.Muestra'!$D$8:$D$42,ROW('03.Muestra'!$F$8:$F$42)-MIN(ROW('03.Muestra'!$D$8:$D$42))+1,""),ROW()-1614)),"")</f>
        <v/>
      </c>
      <c r="D1620" s="130" t="str">
        <f t="shared" ref="D1620:D1649" si="85">IF(AND(B1620&lt;&gt;"",C1620&lt;&gt;""),"N/T","")</f>
        <v/>
      </c>
      <c r="E1620" s="107" t="str">
        <f t="shared" si="84"/>
        <v/>
      </c>
      <c r="G1620" s="19"/>
      <c r="H1620" s="19"/>
      <c r="I1620" s="19"/>
      <c r="J1620" s="19"/>
      <c r="K1620" s="233"/>
    </row>
    <row r="1621" spans="1:11" ht="12" customHeight="1">
      <c r="A1621" s="219" t="str" cm="1">
        <f t="array" ref="A1621">IFERROR(INDEX('03.Muestra'!$B$8:$B$42,SMALL(IF("Página Web"='03.Muestra'!$D$8:$D$42,ROW('03.Muestra'!$B$8:$B$42)-MIN(ROW('03.Muestra'!$D$8:$D$42))+1,""),ROW()-1614)),"")</f>
        <v/>
      </c>
      <c r="B1621" s="114" t="str" cm="1">
        <f t="array" ref="B1621">IFERROR(INDEX('03.Muestra'!$C$8:$C$42,SMALL(IF("Página Web"='03.Muestra'!$D$8:$D$42,ROW('03.Muestra'!$C$8:$C$42)-MIN(ROW('03.Muestra'!$D$8:$D$42))+1,""),ROW()-1614)),"")</f>
        <v/>
      </c>
      <c r="C1621" s="114" t="str" cm="1">
        <f t="array" ref="C1621">IFERROR(INDEX('03.Muestra'!$F$8:$F$42,SMALL(IF("Página Web"='03.Muestra'!$D$8:$D$42,ROW('03.Muestra'!$F$8:$F$42)-MIN(ROW('03.Muestra'!$D$8:$D$42))+1,""),ROW()-1614)),"")</f>
        <v/>
      </c>
      <c r="D1621" s="130" t="str">
        <f t="shared" si="85"/>
        <v/>
      </c>
      <c r="E1621" s="107" t="str">
        <f t="shared" si="84"/>
        <v/>
      </c>
      <c r="F1621" s="19"/>
      <c r="G1621" s="19"/>
      <c r="H1621" s="19"/>
      <c r="I1621" s="19"/>
      <c r="J1621" s="19"/>
      <c r="K1621" s="233"/>
    </row>
    <row r="1622" spans="1:11" ht="12" customHeight="1">
      <c r="A1622" s="219" t="str" cm="1">
        <f t="array" ref="A1622">IFERROR(INDEX('03.Muestra'!$B$8:$B$42,SMALL(IF("Página Web"='03.Muestra'!$D$8:$D$42,ROW('03.Muestra'!$B$8:$B$42)-MIN(ROW('03.Muestra'!$D$8:$D$42))+1,""),ROW()-1614)),"")</f>
        <v/>
      </c>
      <c r="B1622" s="114" t="str" cm="1">
        <f t="array" ref="B1622">IFERROR(INDEX('03.Muestra'!$C$8:$C$42,SMALL(IF("Página Web"='03.Muestra'!$D$8:$D$42,ROW('03.Muestra'!$C$8:$C$42)-MIN(ROW('03.Muestra'!$D$8:$D$42))+1,""),ROW()-1614)),"")</f>
        <v/>
      </c>
      <c r="C1622" s="114" t="str" cm="1">
        <f t="array" ref="C1622">IFERROR(INDEX('03.Muestra'!$F$8:$F$42,SMALL(IF("Página Web"='03.Muestra'!$D$8:$D$42,ROW('03.Muestra'!$F$8:$F$42)-MIN(ROW('03.Muestra'!$D$8:$D$42))+1,""),ROW()-1614)),"")</f>
        <v/>
      </c>
      <c r="D1622" s="130" t="str">
        <f t="shared" si="85"/>
        <v/>
      </c>
      <c r="E1622" s="107" t="str">
        <f t="shared" si="84"/>
        <v/>
      </c>
      <c r="F1622" s="19"/>
      <c r="G1622" s="19"/>
      <c r="H1622" s="19"/>
      <c r="I1622" s="19"/>
      <c r="J1622" s="19"/>
      <c r="K1622" s="233"/>
    </row>
    <row r="1623" spans="1:11" ht="12" customHeight="1">
      <c r="A1623" s="219" t="str" cm="1">
        <f t="array" ref="A1623">IFERROR(INDEX('03.Muestra'!$B$8:$B$42,SMALL(IF("Página Web"='03.Muestra'!$D$8:$D$42,ROW('03.Muestra'!$B$8:$B$42)-MIN(ROW('03.Muestra'!$D$8:$D$42))+1,""),ROW()-1614)),"")</f>
        <v/>
      </c>
      <c r="B1623" s="114" t="str" cm="1">
        <f t="array" ref="B1623">IFERROR(INDEX('03.Muestra'!$C$8:$C$42,SMALL(IF("Página Web"='03.Muestra'!$D$8:$D$42,ROW('03.Muestra'!$C$8:$C$42)-MIN(ROW('03.Muestra'!$D$8:$D$42))+1,""),ROW()-1614)),"")</f>
        <v/>
      </c>
      <c r="C1623" s="114" t="str" cm="1">
        <f t="array" ref="C1623">IFERROR(INDEX('03.Muestra'!$F$8:$F$42,SMALL(IF("Página Web"='03.Muestra'!$D$8:$D$42,ROW('03.Muestra'!$F$8:$F$42)-MIN(ROW('03.Muestra'!$D$8:$D$42))+1,""),ROW()-1614)),"")</f>
        <v/>
      </c>
      <c r="D1623" s="130" t="str">
        <f t="shared" si="85"/>
        <v/>
      </c>
      <c r="E1623" s="107" t="str">
        <f t="shared" si="84"/>
        <v/>
      </c>
      <c r="F1623" s="19"/>
      <c r="G1623" s="19"/>
      <c r="H1623" s="19"/>
      <c r="I1623" s="19"/>
      <c r="J1623" s="19"/>
      <c r="K1623" s="233"/>
    </row>
    <row r="1624" spans="1:11" ht="12" customHeight="1">
      <c r="A1624" s="219" t="str" cm="1">
        <f t="array" ref="A1624">IFERROR(INDEX('03.Muestra'!$B$8:$B$42,SMALL(IF("Página Web"='03.Muestra'!$D$8:$D$42,ROW('03.Muestra'!$B$8:$B$42)-MIN(ROW('03.Muestra'!$D$8:$D$42))+1,""),ROW()-1614)),"")</f>
        <v/>
      </c>
      <c r="B1624" s="114" t="str" cm="1">
        <f t="array" ref="B1624">IFERROR(INDEX('03.Muestra'!$C$8:$C$42,SMALL(IF("Página Web"='03.Muestra'!$D$8:$D$42,ROW('03.Muestra'!$C$8:$C$42)-MIN(ROW('03.Muestra'!$D$8:$D$42))+1,""),ROW()-1614)),"")</f>
        <v/>
      </c>
      <c r="C1624" s="114" t="str" cm="1">
        <f t="array" ref="C1624">IFERROR(INDEX('03.Muestra'!$F$8:$F$42,SMALL(IF("Página Web"='03.Muestra'!$D$8:$D$42,ROW('03.Muestra'!$F$8:$F$42)-MIN(ROW('03.Muestra'!$D$8:$D$42))+1,""),ROW()-1614)),"")</f>
        <v/>
      </c>
      <c r="D1624" s="130" t="str">
        <f t="shared" si="85"/>
        <v/>
      </c>
      <c r="E1624" s="107" t="str">
        <f t="shared" si="84"/>
        <v/>
      </c>
      <c r="F1624" s="19"/>
      <c r="G1624" s="19"/>
      <c r="H1624" s="19"/>
      <c r="I1624" s="19"/>
      <c r="J1624" s="19"/>
      <c r="K1624" s="233"/>
    </row>
    <row r="1625" spans="1:11" ht="12" customHeight="1">
      <c r="A1625" s="219" t="str" cm="1">
        <f t="array" ref="A1625">IFERROR(INDEX('03.Muestra'!$B$8:$B$42,SMALL(IF("Página Web"='03.Muestra'!$D$8:$D$42,ROW('03.Muestra'!$B$8:$B$42)-MIN(ROW('03.Muestra'!$D$8:$D$42))+1,""),ROW()-1614)),"")</f>
        <v/>
      </c>
      <c r="B1625" s="114" t="str" cm="1">
        <f t="array" ref="B1625">IFERROR(INDEX('03.Muestra'!$C$8:$C$42,SMALL(IF("Página Web"='03.Muestra'!$D$8:$D$42,ROW('03.Muestra'!$C$8:$C$42)-MIN(ROW('03.Muestra'!$D$8:$D$42))+1,""),ROW()-1614)),"")</f>
        <v/>
      </c>
      <c r="C1625" s="114" t="str" cm="1">
        <f t="array" ref="C1625">IFERROR(INDEX('03.Muestra'!$F$8:$F$42,SMALL(IF("Página Web"='03.Muestra'!$D$8:$D$42,ROW('03.Muestra'!$F$8:$F$42)-MIN(ROW('03.Muestra'!$D$8:$D$42))+1,""),ROW()-1614)),"")</f>
        <v/>
      </c>
      <c r="D1625" s="130" t="str">
        <f t="shared" si="85"/>
        <v/>
      </c>
      <c r="E1625" s="107" t="str">
        <f t="shared" si="84"/>
        <v/>
      </c>
      <c r="F1625" s="19"/>
      <c r="G1625" s="19"/>
      <c r="H1625" s="19"/>
      <c r="I1625" s="19"/>
      <c r="J1625" s="19"/>
      <c r="K1625" s="233"/>
    </row>
    <row r="1626" spans="1:11" ht="12" customHeight="1">
      <c r="A1626" s="219" t="str" cm="1">
        <f t="array" ref="A1626">IFERROR(INDEX('03.Muestra'!$B$8:$B$42,SMALL(IF("Página Web"='03.Muestra'!$D$8:$D$42,ROW('03.Muestra'!$B$8:$B$42)-MIN(ROW('03.Muestra'!$D$8:$D$42))+1,""),ROW()-1614)),"")</f>
        <v/>
      </c>
      <c r="B1626" s="114" t="str" cm="1">
        <f t="array" ref="B1626">IFERROR(INDEX('03.Muestra'!$C$8:$C$42,SMALL(IF("Página Web"='03.Muestra'!$D$8:$D$42,ROW('03.Muestra'!$C$8:$C$42)-MIN(ROW('03.Muestra'!$D$8:$D$42))+1,""),ROW()-1614)),"")</f>
        <v/>
      </c>
      <c r="C1626" s="114" t="str" cm="1">
        <f t="array" ref="C1626">IFERROR(INDEX('03.Muestra'!$F$8:$F$42,SMALL(IF("Página Web"='03.Muestra'!$D$8:$D$42,ROW('03.Muestra'!$F$8:$F$42)-MIN(ROW('03.Muestra'!$D$8:$D$42))+1,""),ROW()-1614)),"")</f>
        <v/>
      </c>
      <c r="D1626" s="130" t="str">
        <f t="shared" si="85"/>
        <v/>
      </c>
      <c r="E1626" s="107" t="str">
        <f t="shared" si="84"/>
        <v/>
      </c>
      <c r="F1626" s="19"/>
      <c r="G1626" s="19"/>
      <c r="H1626" s="19"/>
      <c r="I1626" s="19"/>
      <c r="J1626" s="19"/>
      <c r="K1626" s="233"/>
    </row>
    <row r="1627" spans="1:11" ht="12" customHeight="1">
      <c r="A1627" s="219" t="str" cm="1">
        <f t="array" ref="A1627">IFERROR(INDEX('03.Muestra'!$B$8:$B$42,SMALL(IF("Página Web"='03.Muestra'!$D$8:$D$42,ROW('03.Muestra'!$B$8:$B$42)-MIN(ROW('03.Muestra'!$D$8:$D$42))+1,""),ROW()-1614)),"")</f>
        <v/>
      </c>
      <c r="B1627" s="114" t="str" cm="1">
        <f t="array" ref="B1627">IFERROR(INDEX('03.Muestra'!$C$8:$C$42,SMALL(IF("Página Web"='03.Muestra'!$D$8:$D$42,ROW('03.Muestra'!$C$8:$C$42)-MIN(ROW('03.Muestra'!$D$8:$D$42))+1,""),ROW()-1614)),"")</f>
        <v/>
      </c>
      <c r="C1627" s="114" t="str" cm="1">
        <f t="array" ref="C1627">IFERROR(INDEX('03.Muestra'!$F$8:$F$42,SMALL(IF("Página Web"='03.Muestra'!$D$8:$D$42,ROW('03.Muestra'!$F$8:$F$42)-MIN(ROW('03.Muestra'!$D$8:$D$42))+1,""),ROW()-1614)),"")</f>
        <v/>
      </c>
      <c r="D1627" s="130" t="str">
        <f t="shared" si="85"/>
        <v/>
      </c>
      <c r="E1627" s="107" t="str">
        <f t="shared" si="84"/>
        <v/>
      </c>
      <c r="F1627" s="19"/>
      <c r="G1627" s="19"/>
      <c r="H1627" s="19"/>
      <c r="I1627" s="19"/>
      <c r="J1627" s="19"/>
      <c r="K1627" s="233"/>
    </row>
    <row r="1628" spans="1:11" ht="12" customHeight="1">
      <c r="A1628" s="219" t="str" cm="1">
        <f t="array" ref="A1628">IFERROR(INDEX('03.Muestra'!$B$8:$B$42,SMALL(IF("Página Web"='03.Muestra'!$D$8:$D$42,ROW('03.Muestra'!$B$8:$B$42)-MIN(ROW('03.Muestra'!$D$8:$D$42))+1,""),ROW()-1614)),"")</f>
        <v/>
      </c>
      <c r="B1628" s="114" t="str" cm="1">
        <f t="array" ref="B1628">IFERROR(INDEX('03.Muestra'!$C$8:$C$42,SMALL(IF("Página Web"='03.Muestra'!$D$8:$D$42,ROW('03.Muestra'!$C$8:$C$42)-MIN(ROW('03.Muestra'!$D$8:$D$42))+1,""),ROW()-1614)),"")</f>
        <v/>
      </c>
      <c r="C1628" s="114" t="str" cm="1">
        <f t="array" ref="C1628">IFERROR(INDEX('03.Muestra'!$F$8:$F$42,SMALL(IF("Página Web"='03.Muestra'!$D$8:$D$42,ROW('03.Muestra'!$F$8:$F$42)-MIN(ROW('03.Muestra'!$D$8:$D$42))+1,""),ROW()-1614)),"")</f>
        <v/>
      </c>
      <c r="D1628" s="130" t="str">
        <f t="shared" si="85"/>
        <v/>
      </c>
      <c r="E1628" s="107" t="str">
        <f t="shared" si="84"/>
        <v/>
      </c>
      <c r="F1628" s="19"/>
      <c r="G1628" s="19"/>
      <c r="H1628" s="19"/>
      <c r="I1628" s="19"/>
      <c r="J1628" s="19"/>
      <c r="K1628" s="233"/>
    </row>
    <row r="1629" spans="1:11" ht="12" customHeight="1">
      <c r="A1629" s="219" t="str" cm="1">
        <f t="array" ref="A1629">IFERROR(INDEX('03.Muestra'!$B$8:$B$42,SMALL(IF("Página Web"='03.Muestra'!$D$8:$D$42,ROW('03.Muestra'!$B$8:$B$42)-MIN(ROW('03.Muestra'!$D$8:$D$42))+1,""),ROW()-1614)),"")</f>
        <v/>
      </c>
      <c r="B1629" s="114" t="str" cm="1">
        <f t="array" ref="B1629">IFERROR(INDEX('03.Muestra'!$C$8:$C$42,SMALL(IF("Página Web"='03.Muestra'!$D$8:$D$42,ROW('03.Muestra'!$C$8:$C$42)-MIN(ROW('03.Muestra'!$D$8:$D$42))+1,""),ROW()-1614)),"")</f>
        <v/>
      </c>
      <c r="C1629" s="114" t="str" cm="1">
        <f t="array" ref="C1629">IFERROR(INDEX('03.Muestra'!$F$8:$F$42,SMALL(IF("Página Web"='03.Muestra'!$D$8:$D$42,ROW('03.Muestra'!$F$8:$F$42)-MIN(ROW('03.Muestra'!$D$8:$D$42))+1,""),ROW()-1614)),"")</f>
        <v/>
      </c>
      <c r="D1629" s="130" t="str">
        <f t="shared" si="85"/>
        <v/>
      </c>
      <c r="E1629" s="107" t="str">
        <f t="shared" si="84"/>
        <v/>
      </c>
      <c r="F1629" s="19"/>
      <c r="G1629" s="19"/>
      <c r="H1629" s="19"/>
      <c r="I1629" s="19"/>
      <c r="J1629" s="19"/>
      <c r="K1629" s="233"/>
    </row>
    <row r="1630" spans="1:11" ht="12" customHeight="1">
      <c r="A1630" s="219" t="str" cm="1">
        <f t="array" ref="A1630">IFERROR(INDEX('03.Muestra'!$B$8:$B$42,SMALL(IF("Página Web"='03.Muestra'!$D$8:$D$42,ROW('03.Muestra'!$B$8:$B$42)-MIN(ROW('03.Muestra'!$D$8:$D$42))+1,""),ROW()-1614)),"")</f>
        <v/>
      </c>
      <c r="B1630" s="114" t="str" cm="1">
        <f t="array" ref="B1630">IFERROR(INDEX('03.Muestra'!$C$8:$C$42,SMALL(IF("Página Web"='03.Muestra'!$D$8:$D$42,ROW('03.Muestra'!$C$8:$C$42)-MIN(ROW('03.Muestra'!$D$8:$D$42))+1,""),ROW()-1614)),"")</f>
        <v/>
      </c>
      <c r="C1630" s="114" t="str" cm="1">
        <f t="array" ref="C1630">IFERROR(INDEX('03.Muestra'!$F$8:$F$42,SMALL(IF("Página Web"='03.Muestra'!$D$8:$D$42,ROW('03.Muestra'!$F$8:$F$42)-MIN(ROW('03.Muestra'!$D$8:$D$42))+1,""),ROW()-1614)),"")</f>
        <v/>
      </c>
      <c r="D1630" s="130" t="str">
        <f t="shared" si="85"/>
        <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si="85"/>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http://www.madrid.org/presupuestos</v>
      </c>
      <c r="D1653" s="130" t="s">
        <v>28</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Menu 1</v>
      </c>
      <c r="C1654" s="114" t="str" cm="1">
        <f t="array" ref="C1654">IFERROR(INDEX('03.Muestra'!$F$8:$F$42,SMALL(IF("Página Web"='03.Muestra'!$D$8:$D$42,ROW('03.Muestra'!$F$8:$F$42)-MIN(ROW('03.Muestra'!$D$8:$D$42))+1,""),ROW()-1652)),"")</f>
        <v>http://www.madrid.org/presupuestos/index.php/presupuestos-generales/presupuestos-cm/2022</v>
      </c>
      <c r="D1654" s="130" t="s">
        <v>28</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5</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Menu 2</v>
      </c>
      <c r="C1655" s="114" t="str" cm="1">
        <f t="array" ref="C1655">IFERROR(INDEX('03.Muestra'!$F$8:$F$42,SMALL(IF("Página Web"='03.Muestra'!$D$8:$D$42,ROW('03.Muestra'!$F$8:$F$42)-MIN(ROW('03.Muestra'!$D$8:$D$42))+1,""),ROW()-1652)),"")</f>
        <v>http://www.madrid.org/presupuestos/index.php/ejecucion-presupuestaria</v>
      </c>
      <c r="D1655" s="130" t="s">
        <v>28</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Menu 3</v>
      </c>
      <c r="C1656" s="114" t="str" cm="1">
        <f t="array" ref="C1656">IFERROR(INDEX('03.Muestra'!$F$8:$F$42,SMALL(IF("Página Web"='03.Muestra'!$D$8:$D$42,ROW('03.Muestra'!$F$8:$F$42)-MIN(ROW('03.Muestra'!$D$8:$D$42))+1,""),ROW()-1652)),"")</f>
        <v>http://www.madrid.org/presupuestos/index.php/transparencia</v>
      </c>
      <c r="D1656" s="130" t="s">
        <v>28</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Accesibilidad</v>
      </c>
      <c r="C1657" s="114" t="str" cm="1">
        <f t="array" ref="C1657">IFERROR(INDEX('03.Muestra'!$F$8:$F$42,SMALL(IF("Página Web"='03.Muestra'!$D$8:$D$42,ROW('03.Muestra'!$F$8:$F$42)-MIN(ROW('03.Muestra'!$D$8:$D$42))+1,""),ROW()-1652)),"")</f>
        <v>http://www.madrid.org/presupuestos/index.php/accesibilidad-web</v>
      </c>
      <c r="D1657" s="130" t="s">
        <v>28</v>
      </c>
      <c r="E1657" s="107" t="str">
        <f t="shared" si="86"/>
        <v/>
      </c>
      <c r="G1657" s="19"/>
      <c r="H1657" s="19"/>
      <c r="I1657" s="19"/>
      <c r="J1657" s="19"/>
      <c r="K1657" s="233"/>
    </row>
    <row r="1658" spans="1:11" ht="12" customHeight="1">
      <c r="A1658" s="219" t="str" cm="1">
        <f t="array" ref="A1658">IFERROR(INDEX('03.Muestra'!$B$8:$B$42,SMALL(IF("Página Web"='03.Muestra'!$D$8:$D$42,ROW('03.Muestra'!$B$8:$B$42)-MIN(ROW('03.Muestra'!$D$8:$D$42))+1,""),ROW()-1652)),"")</f>
        <v/>
      </c>
      <c r="B1658" s="114" t="str" cm="1">
        <f t="array" ref="B1658">IFERROR(INDEX('03.Muestra'!$C$8:$C$42,SMALL(IF("Página Web"='03.Muestra'!$D$8:$D$42,ROW('03.Muestra'!$C$8:$C$42)-MIN(ROW('03.Muestra'!$D$8:$D$42))+1,""),ROW()-1652)),"")</f>
        <v/>
      </c>
      <c r="C1658" s="114" t="str" cm="1">
        <f t="array" ref="C1658">IFERROR(INDEX('03.Muestra'!$F$8:$F$42,SMALL(IF("Página Web"='03.Muestra'!$D$8:$D$42,ROW('03.Muestra'!$F$8:$F$42)-MIN(ROW('03.Muestra'!$D$8:$D$42))+1,""),ROW()-1652)),"")</f>
        <v/>
      </c>
      <c r="D1658" s="130" t="str">
        <f t="shared" ref="D1658:D1687" si="87">IF(AND(B1658&lt;&gt;"",C1658&lt;&gt;""),"N/T","")</f>
        <v/>
      </c>
      <c r="E1658" s="107" t="str">
        <f t="shared" si="86"/>
        <v/>
      </c>
      <c r="G1658" s="19"/>
      <c r="H1658" s="19"/>
      <c r="I1658" s="19"/>
      <c r="J1658" s="19"/>
      <c r="K1658" s="233"/>
    </row>
    <row r="1659" spans="1:11" ht="12" customHeight="1">
      <c r="A1659" s="219" t="str" cm="1">
        <f t="array" ref="A1659">IFERROR(INDEX('03.Muestra'!$B$8:$B$42,SMALL(IF("Página Web"='03.Muestra'!$D$8:$D$42,ROW('03.Muestra'!$B$8:$B$42)-MIN(ROW('03.Muestra'!$D$8:$D$42))+1,""),ROW()-1652)),"")</f>
        <v/>
      </c>
      <c r="B1659" s="114" t="str" cm="1">
        <f t="array" ref="B1659">IFERROR(INDEX('03.Muestra'!$C$8:$C$42,SMALL(IF("Página Web"='03.Muestra'!$D$8:$D$42,ROW('03.Muestra'!$C$8:$C$42)-MIN(ROW('03.Muestra'!$D$8:$D$42))+1,""),ROW()-1652)),"")</f>
        <v/>
      </c>
      <c r="C1659" s="114" t="str" cm="1">
        <f t="array" ref="C1659">IFERROR(INDEX('03.Muestra'!$F$8:$F$42,SMALL(IF("Página Web"='03.Muestra'!$D$8:$D$42,ROW('03.Muestra'!$F$8:$F$42)-MIN(ROW('03.Muestra'!$D$8:$D$42))+1,""),ROW()-1652)),"")</f>
        <v/>
      </c>
      <c r="D1659" s="130" t="str">
        <f t="shared" si="87"/>
        <v/>
      </c>
      <c r="E1659" s="107" t="str">
        <f t="shared" si="86"/>
        <v/>
      </c>
      <c r="F1659" s="19"/>
      <c r="G1659" s="19"/>
      <c r="H1659" s="19"/>
      <c r="I1659" s="19"/>
      <c r="J1659" s="19"/>
      <c r="K1659" s="233"/>
    </row>
    <row r="1660" spans="1:11" ht="12" customHeight="1">
      <c r="A1660" s="219" t="str" cm="1">
        <f t="array" ref="A1660">IFERROR(INDEX('03.Muestra'!$B$8:$B$42,SMALL(IF("Página Web"='03.Muestra'!$D$8:$D$42,ROW('03.Muestra'!$B$8:$B$42)-MIN(ROW('03.Muestra'!$D$8:$D$42))+1,""),ROW()-1652)),"")</f>
        <v/>
      </c>
      <c r="B1660" s="114" t="str" cm="1">
        <f t="array" ref="B1660">IFERROR(INDEX('03.Muestra'!$C$8:$C$42,SMALL(IF("Página Web"='03.Muestra'!$D$8:$D$42,ROW('03.Muestra'!$C$8:$C$42)-MIN(ROW('03.Muestra'!$D$8:$D$42))+1,""),ROW()-1652)),"")</f>
        <v/>
      </c>
      <c r="C1660" s="114" t="str" cm="1">
        <f t="array" ref="C1660">IFERROR(INDEX('03.Muestra'!$F$8:$F$42,SMALL(IF("Página Web"='03.Muestra'!$D$8:$D$42,ROW('03.Muestra'!$F$8:$F$42)-MIN(ROW('03.Muestra'!$D$8:$D$42))+1,""),ROW()-1652)),"")</f>
        <v/>
      </c>
      <c r="D1660" s="130" t="str">
        <f t="shared" si="87"/>
        <v/>
      </c>
      <c r="E1660" s="107" t="str">
        <f t="shared" si="86"/>
        <v/>
      </c>
      <c r="F1660" s="19"/>
      <c r="G1660" s="19"/>
      <c r="H1660" s="19"/>
      <c r="I1660" s="19"/>
      <c r="J1660" s="19"/>
      <c r="K1660" s="233"/>
    </row>
    <row r="1661" spans="1:11" ht="12" customHeight="1">
      <c r="A1661" s="219" t="str" cm="1">
        <f t="array" ref="A1661">IFERROR(INDEX('03.Muestra'!$B$8:$B$42,SMALL(IF("Página Web"='03.Muestra'!$D$8:$D$42,ROW('03.Muestra'!$B$8:$B$42)-MIN(ROW('03.Muestra'!$D$8:$D$42))+1,""),ROW()-1652)),"")</f>
        <v/>
      </c>
      <c r="B1661" s="114" t="str" cm="1">
        <f t="array" ref="B1661">IFERROR(INDEX('03.Muestra'!$C$8:$C$42,SMALL(IF("Página Web"='03.Muestra'!$D$8:$D$42,ROW('03.Muestra'!$C$8:$C$42)-MIN(ROW('03.Muestra'!$D$8:$D$42))+1,""),ROW()-1652)),"")</f>
        <v/>
      </c>
      <c r="C1661" s="114" t="str" cm="1">
        <f t="array" ref="C1661">IFERROR(INDEX('03.Muestra'!$F$8:$F$42,SMALL(IF("Página Web"='03.Muestra'!$D$8:$D$42,ROW('03.Muestra'!$F$8:$F$42)-MIN(ROW('03.Muestra'!$D$8:$D$42))+1,""),ROW()-1652)),"")</f>
        <v/>
      </c>
      <c r="D1661" s="130" t="str">
        <f t="shared" si="87"/>
        <v/>
      </c>
      <c r="E1661" s="107" t="str">
        <f t="shared" si="86"/>
        <v/>
      </c>
      <c r="F1661" s="19"/>
      <c r="G1661" s="19"/>
      <c r="H1661" s="19"/>
      <c r="I1661" s="19"/>
      <c r="J1661" s="19"/>
      <c r="K1661" s="233"/>
    </row>
    <row r="1662" spans="1:11" ht="12" customHeight="1">
      <c r="A1662" s="219" t="str" cm="1">
        <f t="array" ref="A1662">IFERROR(INDEX('03.Muestra'!$B$8:$B$42,SMALL(IF("Página Web"='03.Muestra'!$D$8:$D$42,ROW('03.Muestra'!$B$8:$B$42)-MIN(ROW('03.Muestra'!$D$8:$D$42))+1,""),ROW()-1652)),"")</f>
        <v/>
      </c>
      <c r="B1662" s="114" t="str" cm="1">
        <f t="array" ref="B1662">IFERROR(INDEX('03.Muestra'!$C$8:$C$42,SMALL(IF("Página Web"='03.Muestra'!$D$8:$D$42,ROW('03.Muestra'!$C$8:$C$42)-MIN(ROW('03.Muestra'!$D$8:$D$42))+1,""),ROW()-1652)),"")</f>
        <v/>
      </c>
      <c r="C1662" s="114" t="str" cm="1">
        <f t="array" ref="C1662">IFERROR(INDEX('03.Muestra'!$F$8:$F$42,SMALL(IF("Página Web"='03.Muestra'!$D$8:$D$42,ROW('03.Muestra'!$F$8:$F$42)-MIN(ROW('03.Muestra'!$D$8:$D$42))+1,""),ROW()-1652)),"")</f>
        <v/>
      </c>
      <c r="D1662" s="130" t="str">
        <f t="shared" si="87"/>
        <v/>
      </c>
      <c r="E1662" s="107" t="str">
        <f t="shared" si="86"/>
        <v/>
      </c>
      <c r="F1662" s="19"/>
      <c r="G1662" s="19"/>
      <c r="H1662" s="19"/>
      <c r="I1662" s="19"/>
      <c r="J1662" s="19"/>
      <c r="K1662" s="233"/>
    </row>
    <row r="1663" spans="1:11" ht="12" customHeight="1">
      <c r="A1663" s="219" t="str" cm="1">
        <f t="array" ref="A1663">IFERROR(INDEX('03.Muestra'!$B$8:$B$42,SMALL(IF("Página Web"='03.Muestra'!$D$8:$D$42,ROW('03.Muestra'!$B$8:$B$42)-MIN(ROW('03.Muestra'!$D$8:$D$42))+1,""),ROW()-1652)),"")</f>
        <v/>
      </c>
      <c r="B1663" s="114" t="str" cm="1">
        <f t="array" ref="B1663">IFERROR(INDEX('03.Muestra'!$C$8:$C$42,SMALL(IF("Página Web"='03.Muestra'!$D$8:$D$42,ROW('03.Muestra'!$C$8:$C$42)-MIN(ROW('03.Muestra'!$D$8:$D$42))+1,""),ROW()-1652)),"")</f>
        <v/>
      </c>
      <c r="C1663" s="114" t="str" cm="1">
        <f t="array" ref="C1663">IFERROR(INDEX('03.Muestra'!$F$8:$F$42,SMALL(IF("Página Web"='03.Muestra'!$D$8:$D$42,ROW('03.Muestra'!$F$8:$F$42)-MIN(ROW('03.Muestra'!$D$8:$D$42))+1,""),ROW()-1652)),"")</f>
        <v/>
      </c>
      <c r="D1663" s="130" t="str">
        <f t="shared" si="87"/>
        <v/>
      </c>
      <c r="E1663" s="107" t="str">
        <f t="shared" si="86"/>
        <v/>
      </c>
      <c r="F1663" s="19"/>
      <c r="G1663" s="19"/>
      <c r="H1663" s="19"/>
      <c r="I1663" s="19"/>
      <c r="J1663" s="19"/>
      <c r="K1663" s="233"/>
    </row>
    <row r="1664" spans="1:11" ht="12" customHeight="1">
      <c r="A1664" s="219" t="str" cm="1">
        <f t="array" ref="A1664">IFERROR(INDEX('03.Muestra'!$B$8:$B$42,SMALL(IF("Página Web"='03.Muestra'!$D$8:$D$42,ROW('03.Muestra'!$B$8:$B$42)-MIN(ROW('03.Muestra'!$D$8:$D$42))+1,""),ROW()-1652)),"")</f>
        <v/>
      </c>
      <c r="B1664" s="114" t="str" cm="1">
        <f t="array" ref="B1664">IFERROR(INDEX('03.Muestra'!$C$8:$C$42,SMALL(IF("Página Web"='03.Muestra'!$D$8:$D$42,ROW('03.Muestra'!$C$8:$C$42)-MIN(ROW('03.Muestra'!$D$8:$D$42))+1,""),ROW()-1652)),"")</f>
        <v/>
      </c>
      <c r="C1664" s="114" t="str" cm="1">
        <f t="array" ref="C1664">IFERROR(INDEX('03.Muestra'!$F$8:$F$42,SMALL(IF("Página Web"='03.Muestra'!$D$8:$D$42,ROW('03.Muestra'!$F$8:$F$42)-MIN(ROW('03.Muestra'!$D$8:$D$42))+1,""),ROW()-1652)),"")</f>
        <v/>
      </c>
      <c r="D1664" s="130" t="str">
        <f t="shared" si="87"/>
        <v/>
      </c>
      <c r="E1664" s="107" t="str">
        <f t="shared" si="86"/>
        <v/>
      </c>
      <c r="F1664" s="19"/>
      <c r="G1664" s="19"/>
      <c r="H1664" s="19"/>
      <c r="I1664" s="19"/>
      <c r="J1664" s="19"/>
      <c r="K1664" s="233"/>
    </row>
    <row r="1665" spans="1:11" ht="12" customHeight="1">
      <c r="A1665" s="219" t="str" cm="1">
        <f t="array" ref="A1665">IFERROR(INDEX('03.Muestra'!$B$8:$B$42,SMALL(IF("Página Web"='03.Muestra'!$D$8:$D$42,ROW('03.Muestra'!$B$8:$B$42)-MIN(ROW('03.Muestra'!$D$8:$D$42))+1,""),ROW()-1652)),"")</f>
        <v/>
      </c>
      <c r="B1665" s="114" t="str" cm="1">
        <f t="array" ref="B1665">IFERROR(INDEX('03.Muestra'!$C$8:$C$42,SMALL(IF("Página Web"='03.Muestra'!$D$8:$D$42,ROW('03.Muestra'!$C$8:$C$42)-MIN(ROW('03.Muestra'!$D$8:$D$42))+1,""),ROW()-1652)),"")</f>
        <v/>
      </c>
      <c r="C1665" s="114" t="str" cm="1">
        <f t="array" ref="C1665">IFERROR(INDEX('03.Muestra'!$F$8:$F$42,SMALL(IF("Página Web"='03.Muestra'!$D$8:$D$42,ROW('03.Muestra'!$F$8:$F$42)-MIN(ROW('03.Muestra'!$D$8:$D$42))+1,""),ROW()-1652)),"")</f>
        <v/>
      </c>
      <c r="D1665" s="130" t="str">
        <f t="shared" si="87"/>
        <v/>
      </c>
      <c r="E1665" s="107" t="str">
        <f t="shared" si="86"/>
        <v/>
      </c>
      <c r="F1665" s="19"/>
      <c r="G1665" s="19"/>
      <c r="H1665" s="19"/>
      <c r="I1665" s="19"/>
      <c r="J1665" s="19"/>
      <c r="K1665" s="233"/>
    </row>
    <row r="1666" spans="1:11" ht="12" customHeight="1">
      <c r="A1666" s="219" t="str" cm="1">
        <f t="array" ref="A1666">IFERROR(INDEX('03.Muestra'!$B$8:$B$42,SMALL(IF("Página Web"='03.Muestra'!$D$8:$D$42,ROW('03.Muestra'!$B$8:$B$42)-MIN(ROW('03.Muestra'!$D$8:$D$42))+1,""),ROW()-1652)),"")</f>
        <v/>
      </c>
      <c r="B1666" s="114" t="str" cm="1">
        <f t="array" ref="B1666">IFERROR(INDEX('03.Muestra'!$C$8:$C$42,SMALL(IF("Página Web"='03.Muestra'!$D$8:$D$42,ROW('03.Muestra'!$C$8:$C$42)-MIN(ROW('03.Muestra'!$D$8:$D$42))+1,""),ROW()-1652)),"")</f>
        <v/>
      </c>
      <c r="C1666" s="114" t="str" cm="1">
        <f t="array" ref="C1666">IFERROR(INDEX('03.Muestra'!$F$8:$F$42,SMALL(IF("Página Web"='03.Muestra'!$D$8:$D$42,ROW('03.Muestra'!$F$8:$F$42)-MIN(ROW('03.Muestra'!$D$8:$D$42))+1,""),ROW()-1652)),"")</f>
        <v/>
      </c>
      <c r="D1666" s="130" t="str">
        <f t="shared" si="87"/>
        <v/>
      </c>
      <c r="E1666" s="107" t="str">
        <f t="shared" si="86"/>
        <v/>
      </c>
      <c r="F1666" s="19"/>
      <c r="G1666" s="19"/>
      <c r="H1666" s="19"/>
      <c r="I1666" s="19"/>
      <c r="J1666" s="19"/>
      <c r="K1666" s="233"/>
    </row>
    <row r="1667" spans="1:11" ht="12" customHeight="1">
      <c r="A1667" s="219" t="str" cm="1">
        <f t="array" ref="A1667">IFERROR(INDEX('03.Muestra'!$B$8:$B$42,SMALL(IF("Página Web"='03.Muestra'!$D$8:$D$42,ROW('03.Muestra'!$B$8:$B$42)-MIN(ROW('03.Muestra'!$D$8:$D$42))+1,""),ROW()-1652)),"")</f>
        <v/>
      </c>
      <c r="B1667" s="114" t="str" cm="1">
        <f t="array" ref="B1667">IFERROR(INDEX('03.Muestra'!$C$8:$C$42,SMALL(IF("Página Web"='03.Muestra'!$D$8:$D$42,ROW('03.Muestra'!$C$8:$C$42)-MIN(ROW('03.Muestra'!$D$8:$D$42))+1,""),ROW()-1652)),"")</f>
        <v/>
      </c>
      <c r="C1667" s="114" t="str" cm="1">
        <f t="array" ref="C1667">IFERROR(INDEX('03.Muestra'!$F$8:$F$42,SMALL(IF("Página Web"='03.Muestra'!$D$8:$D$42,ROW('03.Muestra'!$F$8:$F$42)-MIN(ROW('03.Muestra'!$D$8:$D$42))+1,""),ROW()-1652)),"")</f>
        <v/>
      </c>
      <c r="D1667" s="130" t="str">
        <f t="shared" si="87"/>
        <v/>
      </c>
      <c r="E1667" s="107" t="str">
        <f t="shared" si="86"/>
        <v/>
      </c>
      <c r="F1667" s="19"/>
      <c r="G1667" s="19"/>
      <c r="H1667" s="19"/>
      <c r="I1667" s="19"/>
      <c r="J1667" s="19"/>
      <c r="K1667" s="233"/>
    </row>
    <row r="1668" spans="1:11" ht="12" customHeight="1">
      <c r="A1668" s="219" t="str" cm="1">
        <f t="array" ref="A1668">IFERROR(INDEX('03.Muestra'!$B$8:$B$42,SMALL(IF("Página Web"='03.Muestra'!$D$8:$D$42,ROW('03.Muestra'!$B$8:$B$42)-MIN(ROW('03.Muestra'!$D$8:$D$42))+1,""),ROW()-1652)),"")</f>
        <v/>
      </c>
      <c r="B1668" s="114" t="str" cm="1">
        <f t="array" ref="B1668">IFERROR(INDEX('03.Muestra'!$C$8:$C$42,SMALL(IF("Página Web"='03.Muestra'!$D$8:$D$42,ROW('03.Muestra'!$C$8:$C$42)-MIN(ROW('03.Muestra'!$D$8:$D$42))+1,""),ROW()-1652)),"")</f>
        <v/>
      </c>
      <c r="C1668" s="114" t="str" cm="1">
        <f t="array" ref="C1668">IFERROR(INDEX('03.Muestra'!$F$8:$F$42,SMALL(IF("Página Web"='03.Muestra'!$D$8:$D$42,ROW('03.Muestra'!$F$8:$F$42)-MIN(ROW('03.Muestra'!$D$8:$D$42))+1,""),ROW()-1652)),"")</f>
        <v/>
      </c>
      <c r="D1668" s="130" t="str">
        <f t="shared" si="87"/>
        <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si="87"/>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http://www.madrid.org/presupuestos</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Menu 1</v>
      </c>
      <c r="C1692" s="114" t="str" cm="1">
        <f t="array" ref="C1692">IFERROR(INDEX('03.Muestra'!$F$8:$F$42,SMALL(IF("Página Web"='03.Muestra'!$D$8:$D$42,ROW('03.Muestra'!$F$8:$F$42)-MIN(ROW('03.Muestra'!$D$8:$D$42))+1,""),ROW()-1690)),"")</f>
        <v>http://www.madrid.org/presupuestos/index.php/presupuestos-generales/presupuestos-cm/2022</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5</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Menu 2</v>
      </c>
      <c r="C1693" s="114" t="str" cm="1">
        <f t="array" ref="C1693">IFERROR(INDEX('03.Muestra'!$F$8:$F$42,SMALL(IF("Página Web"='03.Muestra'!$D$8:$D$42,ROW('03.Muestra'!$F$8:$F$42)-MIN(ROW('03.Muestra'!$D$8:$D$42))+1,""),ROW()-1690)),"")</f>
        <v>http://www.madrid.org/presupuestos/index.php/ejecucion-presupuestaria</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Menu 3</v>
      </c>
      <c r="C1694" s="114" t="str" cm="1">
        <f t="array" ref="C1694">IFERROR(INDEX('03.Muestra'!$F$8:$F$42,SMALL(IF("Página Web"='03.Muestra'!$D$8:$D$42,ROW('03.Muestra'!$F$8:$F$42)-MIN(ROW('03.Muestra'!$D$8:$D$42))+1,""),ROW()-1690)),"")</f>
        <v>http://www.madrid.org/presupuestos/index.php/transparencia</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Accesibilidad</v>
      </c>
      <c r="C1695" s="114" t="str" cm="1">
        <f t="array" ref="C1695">IFERROR(INDEX('03.Muestra'!$F$8:$F$42,SMALL(IF("Página Web"='03.Muestra'!$D$8:$D$42,ROW('03.Muestra'!$F$8:$F$42)-MIN(ROW('03.Muestra'!$D$8:$D$42))+1,""),ROW()-1690)),"")</f>
        <v>http://www.madrid.org/presupuestos/index.php/accesibilidad-web</v>
      </c>
      <c r="D1695" s="130" t="s">
        <v>35</v>
      </c>
      <c r="E1695" s="107" t="str">
        <f t="shared" si="88"/>
        <v/>
      </c>
      <c r="G1695" s="19"/>
      <c r="H1695" s="19"/>
      <c r="I1695" s="19"/>
      <c r="J1695" s="19"/>
      <c r="K1695" s="233"/>
    </row>
    <row r="1696" spans="1:11" ht="12" customHeight="1">
      <c r="A1696" s="219" t="str" cm="1">
        <f t="array" ref="A1696">IFERROR(INDEX('03.Muestra'!$B$8:$B$42,SMALL(IF("Página Web"='03.Muestra'!$D$8:$D$42,ROW('03.Muestra'!$B$8:$B$42)-MIN(ROW('03.Muestra'!$D$8:$D$42))+1,""),ROW()-1690)),"")</f>
        <v/>
      </c>
      <c r="B1696" s="114" t="str" cm="1">
        <f t="array" ref="B1696">IFERROR(INDEX('03.Muestra'!$C$8:$C$42,SMALL(IF("Página Web"='03.Muestra'!$D$8:$D$42,ROW('03.Muestra'!$C$8:$C$42)-MIN(ROW('03.Muestra'!$D$8:$D$42))+1,""),ROW()-1690)),"")</f>
        <v/>
      </c>
      <c r="C1696" s="114" t="str" cm="1">
        <f t="array" ref="C1696">IFERROR(INDEX('03.Muestra'!$F$8:$F$42,SMALL(IF("Página Web"='03.Muestra'!$D$8:$D$42,ROW('03.Muestra'!$F$8:$F$42)-MIN(ROW('03.Muestra'!$D$8:$D$42))+1,""),ROW()-1690)),"")</f>
        <v/>
      </c>
      <c r="D1696" s="130"/>
      <c r="E1696" s="107" t="str">
        <f t="shared" si="88"/>
        <v/>
      </c>
      <c r="G1696" s="19"/>
      <c r="H1696" s="19"/>
      <c r="I1696" s="19"/>
      <c r="J1696" s="19"/>
      <c r="K1696" s="233"/>
    </row>
    <row r="1697" spans="1:11" ht="12" customHeight="1">
      <c r="A1697" s="219" t="str" cm="1">
        <f t="array" ref="A1697">IFERROR(INDEX('03.Muestra'!$B$8:$B$42,SMALL(IF("Página Web"='03.Muestra'!$D$8:$D$42,ROW('03.Muestra'!$B$8:$B$42)-MIN(ROW('03.Muestra'!$D$8:$D$42))+1,""),ROW()-1690)),"")</f>
        <v/>
      </c>
      <c r="B1697" s="114" t="str" cm="1">
        <f t="array" ref="B1697">IFERROR(INDEX('03.Muestra'!$C$8:$C$42,SMALL(IF("Página Web"='03.Muestra'!$D$8:$D$42,ROW('03.Muestra'!$C$8:$C$42)-MIN(ROW('03.Muestra'!$D$8:$D$42))+1,""),ROW()-1690)),"")</f>
        <v/>
      </c>
      <c r="C1697" s="114" t="str" cm="1">
        <f t="array" ref="C1697">IFERROR(INDEX('03.Muestra'!$F$8:$F$42,SMALL(IF("Página Web"='03.Muestra'!$D$8:$D$42,ROW('03.Muestra'!$F$8:$F$42)-MIN(ROW('03.Muestra'!$D$8:$D$42))+1,""),ROW()-1690)),"")</f>
        <v/>
      </c>
      <c r="D1697" s="130" t="str">
        <f t="shared" ref="D1697:D1725" si="89">IF(AND(B1697&lt;&gt;"",C1697&lt;&gt;""),"N/T","")</f>
        <v/>
      </c>
      <c r="E1697" s="107" t="str">
        <f t="shared" si="88"/>
        <v/>
      </c>
      <c r="F1697" s="19"/>
      <c r="G1697" s="19"/>
      <c r="H1697" s="19"/>
      <c r="I1697" s="19"/>
      <c r="J1697" s="19"/>
      <c r="K1697" s="233"/>
    </row>
    <row r="1698" spans="1:11" ht="12" customHeight="1">
      <c r="A1698" s="219" t="str" cm="1">
        <f t="array" ref="A1698">IFERROR(INDEX('03.Muestra'!$B$8:$B$42,SMALL(IF("Página Web"='03.Muestra'!$D$8:$D$42,ROW('03.Muestra'!$B$8:$B$42)-MIN(ROW('03.Muestra'!$D$8:$D$42))+1,""),ROW()-1690)),"")</f>
        <v/>
      </c>
      <c r="B1698" s="114" t="str" cm="1">
        <f t="array" ref="B1698">IFERROR(INDEX('03.Muestra'!$C$8:$C$42,SMALL(IF("Página Web"='03.Muestra'!$D$8:$D$42,ROW('03.Muestra'!$C$8:$C$42)-MIN(ROW('03.Muestra'!$D$8:$D$42))+1,""),ROW()-1690)),"")</f>
        <v/>
      </c>
      <c r="C1698" s="114" t="str" cm="1">
        <f t="array" ref="C1698">IFERROR(INDEX('03.Muestra'!$F$8:$F$42,SMALL(IF("Página Web"='03.Muestra'!$D$8:$D$42,ROW('03.Muestra'!$F$8:$F$42)-MIN(ROW('03.Muestra'!$D$8:$D$42))+1,""),ROW()-1690)),"")</f>
        <v/>
      </c>
      <c r="D1698" s="130" t="str">
        <f t="shared" si="89"/>
        <v/>
      </c>
      <c r="E1698" s="107" t="str">
        <f t="shared" si="88"/>
        <v/>
      </c>
      <c r="F1698" s="19"/>
      <c r="G1698" s="19"/>
      <c r="H1698" s="19"/>
      <c r="I1698" s="19"/>
      <c r="J1698" s="19"/>
      <c r="K1698" s="233"/>
    </row>
    <row r="1699" spans="1:11" ht="12" customHeight="1">
      <c r="A1699" s="219" t="str" cm="1">
        <f t="array" ref="A1699">IFERROR(INDEX('03.Muestra'!$B$8:$B$42,SMALL(IF("Página Web"='03.Muestra'!$D$8:$D$42,ROW('03.Muestra'!$B$8:$B$42)-MIN(ROW('03.Muestra'!$D$8:$D$42))+1,""),ROW()-1690)),"")</f>
        <v/>
      </c>
      <c r="B1699" s="114" t="str" cm="1">
        <f t="array" ref="B1699">IFERROR(INDEX('03.Muestra'!$C$8:$C$42,SMALL(IF("Página Web"='03.Muestra'!$D$8:$D$42,ROW('03.Muestra'!$C$8:$C$42)-MIN(ROW('03.Muestra'!$D$8:$D$42))+1,""),ROW()-1690)),"")</f>
        <v/>
      </c>
      <c r="C1699" s="114" t="str" cm="1">
        <f t="array" ref="C1699">IFERROR(INDEX('03.Muestra'!$F$8:$F$42,SMALL(IF("Página Web"='03.Muestra'!$D$8:$D$42,ROW('03.Muestra'!$F$8:$F$42)-MIN(ROW('03.Muestra'!$D$8:$D$42))+1,""),ROW()-1690)),"")</f>
        <v/>
      </c>
      <c r="D1699" s="130" t="str">
        <f t="shared" si="89"/>
        <v/>
      </c>
      <c r="E1699" s="107" t="str">
        <f t="shared" si="88"/>
        <v/>
      </c>
      <c r="F1699" s="19"/>
      <c r="G1699" s="19"/>
      <c r="H1699" s="19"/>
      <c r="I1699" s="19"/>
      <c r="J1699" s="19"/>
      <c r="K1699" s="233"/>
    </row>
    <row r="1700" spans="1:11" ht="12" customHeight="1">
      <c r="A1700" s="219" t="str" cm="1">
        <f t="array" ref="A1700">IFERROR(INDEX('03.Muestra'!$B$8:$B$42,SMALL(IF("Página Web"='03.Muestra'!$D$8:$D$42,ROW('03.Muestra'!$B$8:$B$42)-MIN(ROW('03.Muestra'!$D$8:$D$42))+1,""),ROW()-1690)),"")</f>
        <v/>
      </c>
      <c r="B1700" s="114" t="str" cm="1">
        <f t="array" ref="B1700">IFERROR(INDEX('03.Muestra'!$C$8:$C$42,SMALL(IF("Página Web"='03.Muestra'!$D$8:$D$42,ROW('03.Muestra'!$C$8:$C$42)-MIN(ROW('03.Muestra'!$D$8:$D$42))+1,""),ROW()-1690)),"")</f>
        <v/>
      </c>
      <c r="C1700" s="114" t="str" cm="1">
        <f t="array" ref="C1700">IFERROR(INDEX('03.Muestra'!$F$8:$F$42,SMALL(IF("Página Web"='03.Muestra'!$D$8:$D$42,ROW('03.Muestra'!$F$8:$F$42)-MIN(ROW('03.Muestra'!$D$8:$D$42))+1,""),ROW()-1690)),"")</f>
        <v/>
      </c>
      <c r="D1700" s="130" t="str">
        <f t="shared" si="89"/>
        <v/>
      </c>
      <c r="E1700" s="107" t="str">
        <f t="shared" si="88"/>
        <v/>
      </c>
      <c r="F1700" s="19"/>
      <c r="G1700" s="19"/>
      <c r="H1700" s="19"/>
      <c r="I1700" s="19"/>
      <c r="J1700" s="19"/>
      <c r="K1700" s="233"/>
    </row>
    <row r="1701" spans="1:11" ht="12" customHeight="1">
      <c r="A1701" s="219" t="str" cm="1">
        <f t="array" ref="A1701">IFERROR(INDEX('03.Muestra'!$B$8:$B$42,SMALL(IF("Página Web"='03.Muestra'!$D$8:$D$42,ROW('03.Muestra'!$B$8:$B$42)-MIN(ROW('03.Muestra'!$D$8:$D$42))+1,""),ROW()-1690)),"")</f>
        <v/>
      </c>
      <c r="B1701" s="114" t="str" cm="1">
        <f t="array" ref="B1701">IFERROR(INDEX('03.Muestra'!$C$8:$C$42,SMALL(IF("Página Web"='03.Muestra'!$D$8:$D$42,ROW('03.Muestra'!$C$8:$C$42)-MIN(ROW('03.Muestra'!$D$8:$D$42))+1,""),ROW()-1690)),"")</f>
        <v/>
      </c>
      <c r="C1701" s="114" t="str" cm="1">
        <f t="array" ref="C1701">IFERROR(INDEX('03.Muestra'!$F$8:$F$42,SMALL(IF("Página Web"='03.Muestra'!$D$8:$D$42,ROW('03.Muestra'!$F$8:$F$42)-MIN(ROW('03.Muestra'!$D$8:$D$42))+1,""),ROW()-1690)),"")</f>
        <v/>
      </c>
      <c r="D1701" s="130" t="str">
        <f t="shared" si="89"/>
        <v/>
      </c>
      <c r="E1701" s="107" t="str">
        <f t="shared" si="88"/>
        <v/>
      </c>
      <c r="F1701" s="19"/>
      <c r="G1701" s="19"/>
      <c r="H1701" s="19"/>
      <c r="I1701" s="19"/>
      <c r="J1701" s="19"/>
      <c r="K1701" s="233"/>
    </row>
    <row r="1702" spans="1:11" ht="12" customHeight="1">
      <c r="A1702" s="219" t="str" cm="1">
        <f t="array" ref="A1702">IFERROR(INDEX('03.Muestra'!$B$8:$B$42,SMALL(IF("Página Web"='03.Muestra'!$D$8:$D$42,ROW('03.Muestra'!$B$8:$B$42)-MIN(ROW('03.Muestra'!$D$8:$D$42))+1,""),ROW()-1690)),"")</f>
        <v/>
      </c>
      <c r="B1702" s="114" t="str" cm="1">
        <f t="array" ref="B1702">IFERROR(INDEX('03.Muestra'!$C$8:$C$42,SMALL(IF("Página Web"='03.Muestra'!$D$8:$D$42,ROW('03.Muestra'!$C$8:$C$42)-MIN(ROW('03.Muestra'!$D$8:$D$42))+1,""),ROW()-1690)),"")</f>
        <v/>
      </c>
      <c r="C1702" s="114" t="str" cm="1">
        <f t="array" ref="C1702">IFERROR(INDEX('03.Muestra'!$F$8:$F$42,SMALL(IF("Página Web"='03.Muestra'!$D$8:$D$42,ROW('03.Muestra'!$F$8:$F$42)-MIN(ROW('03.Muestra'!$D$8:$D$42))+1,""),ROW()-1690)),"")</f>
        <v/>
      </c>
      <c r="D1702" s="130" t="str">
        <f t="shared" si="89"/>
        <v/>
      </c>
      <c r="E1702" s="107" t="str">
        <f t="shared" si="88"/>
        <v/>
      </c>
      <c r="F1702" s="19"/>
      <c r="G1702" s="19"/>
      <c r="H1702" s="19"/>
      <c r="I1702" s="19"/>
      <c r="J1702" s="19"/>
      <c r="K1702" s="233"/>
    </row>
    <row r="1703" spans="1:11" ht="12" customHeight="1">
      <c r="A1703" s="219" t="str" cm="1">
        <f t="array" ref="A1703">IFERROR(INDEX('03.Muestra'!$B$8:$B$42,SMALL(IF("Página Web"='03.Muestra'!$D$8:$D$42,ROW('03.Muestra'!$B$8:$B$42)-MIN(ROW('03.Muestra'!$D$8:$D$42))+1,""),ROW()-1690)),"")</f>
        <v/>
      </c>
      <c r="B1703" s="114" t="str" cm="1">
        <f t="array" ref="B1703">IFERROR(INDEX('03.Muestra'!$C$8:$C$42,SMALL(IF("Página Web"='03.Muestra'!$D$8:$D$42,ROW('03.Muestra'!$C$8:$C$42)-MIN(ROW('03.Muestra'!$D$8:$D$42))+1,""),ROW()-1690)),"")</f>
        <v/>
      </c>
      <c r="C1703" s="114" t="str" cm="1">
        <f t="array" ref="C1703">IFERROR(INDEX('03.Muestra'!$F$8:$F$42,SMALL(IF("Página Web"='03.Muestra'!$D$8:$D$42,ROW('03.Muestra'!$F$8:$F$42)-MIN(ROW('03.Muestra'!$D$8:$D$42))+1,""),ROW()-1690)),"")</f>
        <v/>
      </c>
      <c r="D1703" s="130" t="str">
        <f t="shared" si="89"/>
        <v/>
      </c>
      <c r="E1703" s="107" t="str">
        <f t="shared" si="88"/>
        <v/>
      </c>
      <c r="F1703" s="19"/>
      <c r="G1703" s="19"/>
      <c r="H1703" s="19"/>
      <c r="I1703" s="19"/>
      <c r="J1703" s="19"/>
      <c r="K1703" s="233"/>
    </row>
    <row r="1704" spans="1:11" ht="12" customHeight="1">
      <c r="A1704" s="219" t="str" cm="1">
        <f t="array" ref="A1704">IFERROR(INDEX('03.Muestra'!$B$8:$B$42,SMALL(IF("Página Web"='03.Muestra'!$D$8:$D$42,ROW('03.Muestra'!$B$8:$B$42)-MIN(ROW('03.Muestra'!$D$8:$D$42))+1,""),ROW()-1690)),"")</f>
        <v/>
      </c>
      <c r="B1704" s="114" t="str" cm="1">
        <f t="array" ref="B1704">IFERROR(INDEX('03.Muestra'!$C$8:$C$42,SMALL(IF("Página Web"='03.Muestra'!$D$8:$D$42,ROW('03.Muestra'!$C$8:$C$42)-MIN(ROW('03.Muestra'!$D$8:$D$42))+1,""),ROW()-1690)),"")</f>
        <v/>
      </c>
      <c r="C1704" s="114" t="str" cm="1">
        <f t="array" ref="C1704">IFERROR(INDEX('03.Muestra'!$F$8:$F$42,SMALL(IF("Página Web"='03.Muestra'!$D$8:$D$42,ROW('03.Muestra'!$F$8:$F$42)-MIN(ROW('03.Muestra'!$D$8:$D$42))+1,""),ROW()-1690)),"")</f>
        <v/>
      </c>
      <c r="D1704" s="130" t="str">
        <f t="shared" si="89"/>
        <v/>
      </c>
      <c r="E1704" s="107" t="str">
        <f t="shared" si="88"/>
        <v/>
      </c>
      <c r="F1704" s="19"/>
      <c r="G1704" s="19"/>
      <c r="H1704" s="19"/>
      <c r="I1704" s="19"/>
      <c r="J1704" s="19"/>
      <c r="K1704" s="233"/>
    </row>
    <row r="1705" spans="1:11" ht="12" customHeight="1">
      <c r="A1705" s="219" t="str" cm="1">
        <f t="array" ref="A1705">IFERROR(INDEX('03.Muestra'!$B$8:$B$42,SMALL(IF("Página Web"='03.Muestra'!$D$8:$D$42,ROW('03.Muestra'!$B$8:$B$42)-MIN(ROW('03.Muestra'!$D$8:$D$42))+1,""),ROW()-1690)),"")</f>
        <v/>
      </c>
      <c r="B1705" s="114" t="str" cm="1">
        <f t="array" ref="B1705">IFERROR(INDEX('03.Muestra'!$C$8:$C$42,SMALL(IF("Página Web"='03.Muestra'!$D$8:$D$42,ROW('03.Muestra'!$C$8:$C$42)-MIN(ROW('03.Muestra'!$D$8:$D$42))+1,""),ROW()-1690)),"")</f>
        <v/>
      </c>
      <c r="C1705" s="114" t="str" cm="1">
        <f t="array" ref="C1705">IFERROR(INDEX('03.Muestra'!$F$8:$F$42,SMALL(IF("Página Web"='03.Muestra'!$D$8:$D$42,ROW('03.Muestra'!$F$8:$F$42)-MIN(ROW('03.Muestra'!$D$8:$D$42))+1,""),ROW()-1690)),"")</f>
        <v/>
      </c>
      <c r="D1705" s="130" t="str">
        <f t="shared" si="89"/>
        <v/>
      </c>
      <c r="E1705" s="107" t="str">
        <f t="shared" si="88"/>
        <v/>
      </c>
      <c r="F1705" s="19"/>
      <c r="G1705" s="19"/>
      <c r="H1705" s="19"/>
      <c r="I1705" s="19"/>
      <c r="J1705" s="19"/>
      <c r="K1705" s="233"/>
    </row>
    <row r="1706" spans="1:11" ht="12" customHeight="1">
      <c r="A1706" s="219" t="str" cm="1">
        <f t="array" ref="A1706">IFERROR(INDEX('03.Muestra'!$B$8:$B$42,SMALL(IF("Página Web"='03.Muestra'!$D$8:$D$42,ROW('03.Muestra'!$B$8:$B$42)-MIN(ROW('03.Muestra'!$D$8:$D$42))+1,""),ROW()-1690)),"")</f>
        <v/>
      </c>
      <c r="B1706" s="114" t="str" cm="1">
        <f t="array" ref="B1706">IFERROR(INDEX('03.Muestra'!$C$8:$C$42,SMALL(IF("Página Web"='03.Muestra'!$D$8:$D$42,ROW('03.Muestra'!$C$8:$C$42)-MIN(ROW('03.Muestra'!$D$8:$D$42))+1,""),ROW()-1690)),"")</f>
        <v/>
      </c>
      <c r="C1706" s="114" t="str" cm="1">
        <f t="array" ref="C1706">IFERROR(INDEX('03.Muestra'!$F$8:$F$42,SMALL(IF("Página Web"='03.Muestra'!$D$8:$D$42,ROW('03.Muestra'!$F$8:$F$42)-MIN(ROW('03.Muestra'!$D$8:$D$42))+1,""),ROW()-1690)),"")</f>
        <v/>
      </c>
      <c r="D1706" s="130" t="str">
        <f t="shared" si="89"/>
        <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si="89"/>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http://www.madrid.org/presupuestos</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Menu 1</v>
      </c>
      <c r="C1730" s="114" t="str" cm="1">
        <f t="array" ref="C1730">IFERROR(INDEX('03.Muestra'!$F$8:$F$42,SMALL(IF("Página Web"='03.Muestra'!$D$8:$D$42,ROW('03.Muestra'!$F$8:$F$42)-MIN(ROW('03.Muestra'!$D$8:$D$42))+1,""),ROW()-1728)),"")</f>
        <v>http://www.madrid.org/presupuestos/index.php/presupuestos-generales/presupuestos-cm/2022</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5</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Menu 2</v>
      </c>
      <c r="C1731" s="114" t="str" cm="1">
        <f t="array" ref="C1731">IFERROR(INDEX('03.Muestra'!$F$8:$F$42,SMALL(IF("Página Web"='03.Muestra'!$D$8:$D$42,ROW('03.Muestra'!$F$8:$F$42)-MIN(ROW('03.Muestra'!$D$8:$D$42))+1,""),ROW()-1728)),"")</f>
        <v>http://www.madrid.org/presupuestos/index.php/ejecucion-presupuestaria</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Menu 3</v>
      </c>
      <c r="C1732" s="114" t="str" cm="1">
        <f t="array" ref="C1732">IFERROR(INDEX('03.Muestra'!$F$8:$F$42,SMALL(IF("Página Web"='03.Muestra'!$D$8:$D$42,ROW('03.Muestra'!$F$8:$F$42)-MIN(ROW('03.Muestra'!$D$8:$D$42))+1,""),ROW()-1728)),"")</f>
        <v>http://www.madrid.org/presupuestos/index.php/transparencia</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Accesibilidad</v>
      </c>
      <c r="C1733" s="114" t="str" cm="1">
        <f t="array" ref="C1733">IFERROR(INDEX('03.Muestra'!$F$8:$F$42,SMALL(IF("Página Web"='03.Muestra'!$D$8:$D$42,ROW('03.Muestra'!$F$8:$F$42)-MIN(ROW('03.Muestra'!$D$8:$D$42))+1,""),ROW()-1728)),"")</f>
        <v>http://www.madrid.org/presupuestos/index.php/accesibilidad-web</v>
      </c>
      <c r="D1733" s="130" t="s">
        <v>35</v>
      </c>
      <c r="E1733" s="107" t="str">
        <f t="shared" si="90"/>
        <v/>
      </c>
      <c r="G1733" s="19"/>
      <c r="H1733" s="19"/>
      <c r="I1733" s="19"/>
      <c r="J1733" s="19"/>
      <c r="K1733" s="233"/>
    </row>
    <row r="1734" spans="1:11" ht="12" customHeight="1">
      <c r="A1734" s="219" t="str" cm="1">
        <f t="array" ref="A1734">IFERROR(INDEX('03.Muestra'!$B$8:$B$42,SMALL(IF("Página Web"='03.Muestra'!$D$8:$D$42,ROW('03.Muestra'!$B$8:$B$42)-MIN(ROW('03.Muestra'!$D$8:$D$42))+1,""),ROW()-1728)),"")</f>
        <v/>
      </c>
      <c r="B1734" s="114" t="str" cm="1">
        <f t="array" ref="B1734">IFERROR(INDEX('03.Muestra'!$C$8:$C$42,SMALL(IF("Página Web"='03.Muestra'!$D$8:$D$42,ROW('03.Muestra'!$C$8:$C$42)-MIN(ROW('03.Muestra'!$D$8:$D$42))+1,""),ROW()-1728)),"")</f>
        <v/>
      </c>
      <c r="C1734" s="114" t="str" cm="1">
        <f t="array" ref="C1734">IFERROR(INDEX('03.Muestra'!$F$8:$F$42,SMALL(IF("Página Web"='03.Muestra'!$D$8:$D$42,ROW('03.Muestra'!$F$8:$F$42)-MIN(ROW('03.Muestra'!$D$8:$D$42))+1,""),ROW()-1728)),"")</f>
        <v/>
      </c>
      <c r="D1734" s="130" t="str">
        <f t="shared" ref="D1734:D1763" si="91">IF(AND(B1734&lt;&gt;"",C1734&lt;&gt;""),"N/T","")</f>
        <v/>
      </c>
      <c r="E1734" s="107" t="str">
        <f t="shared" si="90"/>
        <v/>
      </c>
      <c r="G1734" s="19"/>
      <c r="H1734" s="19"/>
      <c r="I1734" s="19"/>
      <c r="J1734" s="19"/>
      <c r="K1734" s="233"/>
    </row>
    <row r="1735" spans="1:11" ht="12" customHeight="1">
      <c r="A1735" s="219" t="str" cm="1">
        <f t="array" ref="A1735">IFERROR(INDEX('03.Muestra'!$B$8:$B$42,SMALL(IF("Página Web"='03.Muestra'!$D$8:$D$42,ROW('03.Muestra'!$B$8:$B$42)-MIN(ROW('03.Muestra'!$D$8:$D$42))+1,""),ROW()-1728)),"")</f>
        <v/>
      </c>
      <c r="B1735" s="114" t="str" cm="1">
        <f t="array" ref="B1735">IFERROR(INDEX('03.Muestra'!$C$8:$C$42,SMALL(IF("Página Web"='03.Muestra'!$D$8:$D$42,ROW('03.Muestra'!$C$8:$C$42)-MIN(ROW('03.Muestra'!$D$8:$D$42))+1,""),ROW()-1728)),"")</f>
        <v/>
      </c>
      <c r="C1735" s="114" t="str" cm="1">
        <f t="array" ref="C1735">IFERROR(INDEX('03.Muestra'!$F$8:$F$42,SMALL(IF("Página Web"='03.Muestra'!$D$8:$D$42,ROW('03.Muestra'!$F$8:$F$42)-MIN(ROW('03.Muestra'!$D$8:$D$42))+1,""),ROW()-1728)),"")</f>
        <v/>
      </c>
      <c r="D1735" s="130" t="str">
        <f t="shared" si="91"/>
        <v/>
      </c>
      <c r="E1735" s="107" t="str">
        <f t="shared" si="90"/>
        <v/>
      </c>
      <c r="F1735" s="19"/>
      <c r="G1735" s="19"/>
      <c r="H1735" s="19"/>
      <c r="I1735" s="19"/>
      <c r="J1735" s="19"/>
      <c r="K1735" s="233"/>
    </row>
    <row r="1736" spans="1:11" ht="12" customHeight="1">
      <c r="A1736" s="219" t="str" cm="1">
        <f t="array" ref="A1736">IFERROR(INDEX('03.Muestra'!$B$8:$B$42,SMALL(IF("Página Web"='03.Muestra'!$D$8:$D$42,ROW('03.Muestra'!$B$8:$B$42)-MIN(ROW('03.Muestra'!$D$8:$D$42))+1,""),ROW()-1728)),"")</f>
        <v/>
      </c>
      <c r="B1736" s="114" t="str" cm="1">
        <f t="array" ref="B1736">IFERROR(INDEX('03.Muestra'!$C$8:$C$42,SMALL(IF("Página Web"='03.Muestra'!$D$8:$D$42,ROW('03.Muestra'!$C$8:$C$42)-MIN(ROW('03.Muestra'!$D$8:$D$42))+1,""),ROW()-1728)),"")</f>
        <v/>
      </c>
      <c r="C1736" s="114" t="str" cm="1">
        <f t="array" ref="C1736">IFERROR(INDEX('03.Muestra'!$F$8:$F$42,SMALL(IF("Página Web"='03.Muestra'!$D$8:$D$42,ROW('03.Muestra'!$F$8:$F$42)-MIN(ROW('03.Muestra'!$D$8:$D$42))+1,""),ROW()-1728)),"")</f>
        <v/>
      </c>
      <c r="D1736" s="130" t="str">
        <f t="shared" si="91"/>
        <v/>
      </c>
      <c r="E1736" s="107" t="str">
        <f t="shared" si="90"/>
        <v/>
      </c>
      <c r="F1736" s="19"/>
      <c r="G1736" s="19"/>
      <c r="H1736" s="19"/>
      <c r="I1736" s="19"/>
      <c r="J1736" s="19"/>
      <c r="K1736" s="233"/>
    </row>
    <row r="1737" spans="1:11" ht="12" customHeight="1">
      <c r="A1737" s="219" t="str" cm="1">
        <f t="array" ref="A1737">IFERROR(INDEX('03.Muestra'!$B$8:$B$42,SMALL(IF("Página Web"='03.Muestra'!$D$8:$D$42,ROW('03.Muestra'!$B$8:$B$42)-MIN(ROW('03.Muestra'!$D$8:$D$42))+1,""),ROW()-1728)),"")</f>
        <v/>
      </c>
      <c r="B1737" s="114" t="str" cm="1">
        <f t="array" ref="B1737">IFERROR(INDEX('03.Muestra'!$C$8:$C$42,SMALL(IF("Página Web"='03.Muestra'!$D$8:$D$42,ROW('03.Muestra'!$C$8:$C$42)-MIN(ROW('03.Muestra'!$D$8:$D$42))+1,""),ROW()-1728)),"")</f>
        <v/>
      </c>
      <c r="C1737" s="114" t="str" cm="1">
        <f t="array" ref="C1737">IFERROR(INDEX('03.Muestra'!$F$8:$F$42,SMALL(IF("Página Web"='03.Muestra'!$D$8:$D$42,ROW('03.Muestra'!$F$8:$F$42)-MIN(ROW('03.Muestra'!$D$8:$D$42))+1,""),ROW()-1728)),"")</f>
        <v/>
      </c>
      <c r="D1737" s="130" t="str">
        <f t="shared" si="91"/>
        <v/>
      </c>
      <c r="E1737" s="107" t="str">
        <f t="shared" si="90"/>
        <v/>
      </c>
      <c r="F1737" s="19"/>
      <c r="G1737" s="19"/>
      <c r="H1737" s="19"/>
      <c r="I1737" s="19"/>
      <c r="J1737" s="19"/>
      <c r="K1737" s="233"/>
    </row>
    <row r="1738" spans="1:11" ht="12" customHeight="1">
      <c r="A1738" s="219" t="str" cm="1">
        <f t="array" ref="A1738">IFERROR(INDEX('03.Muestra'!$B$8:$B$42,SMALL(IF("Página Web"='03.Muestra'!$D$8:$D$42,ROW('03.Muestra'!$B$8:$B$42)-MIN(ROW('03.Muestra'!$D$8:$D$42))+1,""),ROW()-1728)),"")</f>
        <v/>
      </c>
      <c r="B1738" s="114" t="str" cm="1">
        <f t="array" ref="B1738">IFERROR(INDEX('03.Muestra'!$C$8:$C$42,SMALL(IF("Página Web"='03.Muestra'!$D$8:$D$42,ROW('03.Muestra'!$C$8:$C$42)-MIN(ROW('03.Muestra'!$D$8:$D$42))+1,""),ROW()-1728)),"")</f>
        <v/>
      </c>
      <c r="C1738" s="114" t="str" cm="1">
        <f t="array" ref="C1738">IFERROR(INDEX('03.Muestra'!$F$8:$F$42,SMALL(IF("Página Web"='03.Muestra'!$D$8:$D$42,ROW('03.Muestra'!$F$8:$F$42)-MIN(ROW('03.Muestra'!$D$8:$D$42))+1,""),ROW()-1728)),"")</f>
        <v/>
      </c>
      <c r="D1738" s="130" t="str">
        <f t="shared" si="91"/>
        <v/>
      </c>
      <c r="E1738" s="107" t="str">
        <f t="shared" si="90"/>
        <v/>
      </c>
      <c r="F1738" s="19"/>
      <c r="G1738" s="19"/>
      <c r="H1738" s="19"/>
      <c r="I1738" s="19"/>
      <c r="J1738" s="19"/>
      <c r="K1738" s="233"/>
    </row>
    <row r="1739" spans="1:11" ht="12" customHeight="1">
      <c r="A1739" s="219" t="str" cm="1">
        <f t="array" ref="A1739">IFERROR(INDEX('03.Muestra'!$B$8:$B$42,SMALL(IF("Página Web"='03.Muestra'!$D$8:$D$42,ROW('03.Muestra'!$B$8:$B$42)-MIN(ROW('03.Muestra'!$D$8:$D$42))+1,""),ROW()-1728)),"")</f>
        <v/>
      </c>
      <c r="B1739" s="114" t="str" cm="1">
        <f t="array" ref="B1739">IFERROR(INDEX('03.Muestra'!$C$8:$C$42,SMALL(IF("Página Web"='03.Muestra'!$D$8:$D$42,ROW('03.Muestra'!$C$8:$C$42)-MIN(ROW('03.Muestra'!$D$8:$D$42))+1,""),ROW()-1728)),"")</f>
        <v/>
      </c>
      <c r="C1739" s="114" t="str" cm="1">
        <f t="array" ref="C1739">IFERROR(INDEX('03.Muestra'!$F$8:$F$42,SMALL(IF("Página Web"='03.Muestra'!$D$8:$D$42,ROW('03.Muestra'!$F$8:$F$42)-MIN(ROW('03.Muestra'!$D$8:$D$42))+1,""),ROW()-1728)),"")</f>
        <v/>
      </c>
      <c r="D1739" s="130" t="str">
        <f t="shared" si="91"/>
        <v/>
      </c>
      <c r="E1739" s="107" t="str">
        <f t="shared" si="90"/>
        <v/>
      </c>
      <c r="F1739" s="19"/>
      <c r="G1739" s="19"/>
      <c r="H1739" s="19"/>
      <c r="I1739" s="19"/>
      <c r="J1739" s="19"/>
      <c r="K1739" s="233"/>
    </row>
    <row r="1740" spans="1:11" ht="12" customHeight="1">
      <c r="A1740" s="219" t="str" cm="1">
        <f t="array" ref="A1740">IFERROR(INDEX('03.Muestra'!$B$8:$B$42,SMALL(IF("Página Web"='03.Muestra'!$D$8:$D$42,ROW('03.Muestra'!$B$8:$B$42)-MIN(ROW('03.Muestra'!$D$8:$D$42))+1,""),ROW()-1728)),"")</f>
        <v/>
      </c>
      <c r="B1740" s="114" t="str" cm="1">
        <f t="array" ref="B1740">IFERROR(INDEX('03.Muestra'!$C$8:$C$42,SMALL(IF("Página Web"='03.Muestra'!$D$8:$D$42,ROW('03.Muestra'!$C$8:$C$42)-MIN(ROW('03.Muestra'!$D$8:$D$42))+1,""),ROW()-1728)),"")</f>
        <v/>
      </c>
      <c r="C1740" s="114" t="str" cm="1">
        <f t="array" ref="C1740">IFERROR(INDEX('03.Muestra'!$F$8:$F$42,SMALL(IF("Página Web"='03.Muestra'!$D$8:$D$42,ROW('03.Muestra'!$F$8:$F$42)-MIN(ROW('03.Muestra'!$D$8:$D$42))+1,""),ROW()-1728)),"")</f>
        <v/>
      </c>
      <c r="D1740" s="130" t="str">
        <f t="shared" si="91"/>
        <v/>
      </c>
      <c r="E1740" s="107" t="str">
        <f t="shared" si="90"/>
        <v/>
      </c>
      <c r="F1740" s="19"/>
      <c r="G1740" s="19"/>
      <c r="H1740" s="19"/>
      <c r="I1740" s="19"/>
      <c r="J1740" s="19"/>
      <c r="K1740" s="233"/>
    </row>
    <row r="1741" spans="1:11" ht="12" customHeight="1">
      <c r="A1741" s="219" t="str" cm="1">
        <f t="array" ref="A1741">IFERROR(INDEX('03.Muestra'!$B$8:$B$42,SMALL(IF("Página Web"='03.Muestra'!$D$8:$D$42,ROW('03.Muestra'!$B$8:$B$42)-MIN(ROW('03.Muestra'!$D$8:$D$42))+1,""),ROW()-1728)),"")</f>
        <v/>
      </c>
      <c r="B1741" s="114" t="str" cm="1">
        <f t="array" ref="B1741">IFERROR(INDEX('03.Muestra'!$C$8:$C$42,SMALL(IF("Página Web"='03.Muestra'!$D$8:$D$42,ROW('03.Muestra'!$C$8:$C$42)-MIN(ROW('03.Muestra'!$D$8:$D$42))+1,""),ROW()-1728)),"")</f>
        <v/>
      </c>
      <c r="C1741" s="114" t="str" cm="1">
        <f t="array" ref="C1741">IFERROR(INDEX('03.Muestra'!$F$8:$F$42,SMALL(IF("Página Web"='03.Muestra'!$D$8:$D$42,ROW('03.Muestra'!$F$8:$F$42)-MIN(ROW('03.Muestra'!$D$8:$D$42))+1,""),ROW()-1728)),"")</f>
        <v/>
      </c>
      <c r="D1741" s="130" t="str">
        <f t="shared" si="91"/>
        <v/>
      </c>
      <c r="E1741" s="107" t="str">
        <f t="shared" si="90"/>
        <v/>
      </c>
      <c r="F1741" s="19"/>
      <c r="G1741" s="19"/>
      <c r="H1741" s="19"/>
      <c r="I1741" s="19"/>
      <c r="J1741" s="19"/>
      <c r="K1741" s="233"/>
    </row>
    <row r="1742" spans="1:11" ht="12" customHeight="1">
      <c r="A1742" s="219" t="str" cm="1">
        <f t="array" ref="A1742">IFERROR(INDEX('03.Muestra'!$B$8:$B$42,SMALL(IF("Página Web"='03.Muestra'!$D$8:$D$42,ROW('03.Muestra'!$B$8:$B$42)-MIN(ROW('03.Muestra'!$D$8:$D$42))+1,""),ROW()-1728)),"")</f>
        <v/>
      </c>
      <c r="B1742" s="114" t="str" cm="1">
        <f t="array" ref="B1742">IFERROR(INDEX('03.Muestra'!$C$8:$C$42,SMALL(IF("Página Web"='03.Muestra'!$D$8:$D$42,ROW('03.Muestra'!$C$8:$C$42)-MIN(ROW('03.Muestra'!$D$8:$D$42))+1,""),ROW()-1728)),"")</f>
        <v/>
      </c>
      <c r="C1742" s="114" t="str" cm="1">
        <f t="array" ref="C1742">IFERROR(INDEX('03.Muestra'!$F$8:$F$42,SMALL(IF("Página Web"='03.Muestra'!$D$8:$D$42,ROW('03.Muestra'!$F$8:$F$42)-MIN(ROW('03.Muestra'!$D$8:$D$42))+1,""),ROW()-1728)),"")</f>
        <v/>
      </c>
      <c r="D1742" s="130" t="str">
        <f t="shared" si="91"/>
        <v/>
      </c>
      <c r="E1742" s="107" t="str">
        <f t="shared" si="90"/>
        <v/>
      </c>
      <c r="F1742" s="19"/>
      <c r="G1742" s="19"/>
      <c r="H1742" s="19"/>
      <c r="I1742" s="19"/>
      <c r="J1742" s="19"/>
      <c r="K1742" s="233"/>
    </row>
    <row r="1743" spans="1:11" ht="12" customHeight="1">
      <c r="A1743" s="219" t="str" cm="1">
        <f t="array" ref="A1743">IFERROR(INDEX('03.Muestra'!$B$8:$B$42,SMALL(IF("Página Web"='03.Muestra'!$D$8:$D$42,ROW('03.Muestra'!$B$8:$B$42)-MIN(ROW('03.Muestra'!$D$8:$D$42))+1,""),ROW()-1728)),"")</f>
        <v/>
      </c>
      <c r="B1743" s="114" t="str" cm="1">
        <f t="array" ref="B1743">IFERROR(INDEX('03.Muestra'!$C$8:$C$42,SMALL(IF("Página Web"='03.Muestra'!$D$8:$D$42,ROW('03.Muestra'!$C$8:$C$42)-MIN(ROW('03.Muestra'!$D$8:$D$42))+1,""),ROW()-1728)),"")</f>
        <v/>
      </c>
      <c r="C1743" s="114" t="str" cm="1">
        <f t="array" ref="C1743">IFERROR(INDEX('03.Muestra'!$F$8:$F$42,SMALL(IF("Página Web"='03.Muestra'!$D$8:$D$42,ROW('03.Muestra'!$F$8:$F$42)-MIN(ROW('03.Muestra'!$D$8:$D$42))+1,""),ROW()-1728)),"")</f>
        <v/>
      </c>
      <c r="D1743" s="130" t="str">
        <f t="shared" si="91"/>
        <v/>
      </c>
      <c r="E1743" s="107" t="str">
        <f t="shared" si="90"/>
        <v/>
      </c>
      <c r="F1743" s="19"/>
      <c r="G1743" s="19"/>
      <c r="H1743" s="19"/>
      <c r="I1743" s="19"/>
      <c r="J1743" s="19"/>
      <c r="K1743" s="233"/>
    </row>
    <row r="1744" spans="1:11" ht="12" customHeight="1">
      <c r="A1744" s="219" t="str" cm="1">
        <f t="array" ref="A1744">IFERROR(INDEX('03.Muestra'!$B$8:$B$42,SMALL(IF("Página Web"='03.Muestra'!$D$8:$D$42,ROW('03.Muestra'!$B$8:$B$42)-MIN(ROW('03.Muestra'!$D$8:$D$42))+1,""),ROW()-1728)),"")</f>
        <v/>
      </c>
      <c r="B1744" s="114" t="str" cm="1">
        <f t="array" ref="B1744">IFERROR(INDEX('03.Muestra'!$C$8:$C$42,SMALL(IF("Página Web"='03.Muestra'!$D$8:$D$42,ROW('03.Muestra'!$C$8:$C$42)-MIN(ROW('03.Muestra'!$D$8:$D$42))+1,""),ROW()-1728)),"")</f>
        <v/>
      </c>
      <c r="C1744" s="114" t="str" cm="1">
        <f t="array" ref="C1744">IFERROR(INDEX('03.Muestra'!$F$8:$F$42,SMALL(IF("Página Web"='03.Muestra'!$D$8:$D$42,ROW('03.Muestra'!$F$8:$F$42)-MIN(ROW('03.Muestra'!$D$8:$D$42))+1,""),ROW()-1728)),"")</f>
        <v/>
      </c>
      <c r="D1744" s="130" t="str">
        <f t="shared" si="91"/>
        <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si="91"/>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http://www.madrid.org/presupuestos</v>
      </c>
      <c r="D1767" s="130" t="s">
        <v>26</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Menu 1</v>
      </c>
      <c r="C1768" s="114" t="str" cm="1">
        <f t="array" ref="C1768">IFERROR(INDEX('03.Muestra'!$F$8:$F$42,SMALL(IF("Página Web"='03.Muestra'!$D$8:$D$42,ROW('03.Muestra'!$F$8:$F$42)-MIN(ROW('03.Muestra'!$D$8:$D$42))+1,""),ROW()-1766)),"")</f>
        <v>http://www.madrid.org/presupuestos/index.php/presupuestos-generales/presupuestos-cm/2022</v>
      </c>
      <c r="D1768" s="130" t="s">
        <v>26</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5</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Menu 2</v>
      </c>
      <c r="C1769" s="114" t="str" cm="1">
        <f t="array" ref="C1769">IFERROR(INDEX('03.Muestra'!$F$8:$F$42,SMALL(IF("Página Web"='03.Muestra'!$D$8:$D$42,ROW('03.Muestra'!$F$8:$F$42)-MIN(ROW('03.Muestra'!$D$8:$D$42))+1,""),ROW()-1766)),"")</f>
        <v>http://www.madrid.org/presupuestos/index.php/ejecucion-presupuestaria</v>
      </c>
      <c r="D1769" s="130" t="s">
        <v>26</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Menu 3</v>
      </c>
      <c r="C1770" s="114" t="str" cm="1">
        <f t="array" ref="C1770">IFERROR(INDEX('03.Muestra'!$F$8:$F$42,SMALL(IF("Página Web"='03.Muestra'!$D$8:$D$42,ROW('03.Muestra'!$F$8:$F$42)-MIN(ROW('03.Muestra'!$D$8:$D$42))+1,""),ROW()-1766)),"")</f>
        <v>http://www.madrid.org/presupuestos/index.php/transparencia</v>
      </c>
      <c r="D1770" s="130" t="s">
        <v>26</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Accesibilidad</v>
      </c>
      <c r="C1771" s="114" t="str" cm="1">
        <f t="array" ref="C1771">IFERROR(INDEX('03.Muestra'!$F$8:$F$42,SMALL(IF("Página Web"='03.Muestra'!$D$8:$D$42,ROW('03.Muestra'!$F$8:$F$42)-MIN(ROW('03.Muestra'!$D$8:$D$42))+1,""),ROW()-1766)),"")</f>
        <v>http://www.madrid.org/presupuestos/index.php/accesibilidad-web</v>
      </c>
      <c r="D1771" s="130" t="s">
        <v>26</v>
      </c>
      <c r="E1771" s="107" t="str">
        <f t="shared" si="92"/>
        <v/>
      </c>
      <c r="F1771" s="122"/>
      <c r="G1771" s="19"/>
      <c r="H1771" s="19"/>
      <c r="I1771" s="19"/>
      <c r="J1771" s="19"/>
      <c r="K1771" s="234"/>
    </row>
    <row r="1772" spans="1:11" ht="12" customHeight="1">
      <c r="A1772" s="219" t="str" cm="1">
        <f t="array" ref="A1772">IFERROR(INDEX('03.Muestra'!$B$8:$B$42,SMALL(IF("Página Web"='03.Muestra'!$D$8:$D$42,ROW('03.Muestra'!$B$8:$B$42)-MIN(ROW('03.Muestra'!$D$8:$D$42))+1,""),ROW()-1766)),"")</f>
        <v/>
      </c>
      <c r="B1772" s="114" t="str" cm="1">
        <f t="array" ref="B1772">IFERROR(INDEX('03.Muestra'!$C$8:$C$42,SMALL(IF("Página Web"='03.Muestra'!$D$8:$D$42,ROW('03.Muestra'!$C$8:$C$42)-MIN(ROW('03.Muestra'!$D$8:$D$42))+1,""),ROW()-1766)),"")</f>
        <v/>
      </c>
      <c r="C1772" s="114" t="str" cm="1">
        <f t="array" ref="C1772">IFERROR(INDEX('03.Muestra'!$F$8:$F$42,SMALL(IF("Página Web"='03.Muestra'!$D$8:$D$42,ROW('03.Muestra'!$F$8:$F$42)-MIN(ROW('03.Muestra'!$D$8:$D$42))+1,""),ROW()-1766)),"")</f>
        <v/>
      </c>
      <c r="D1772" s="130" t="str">
        <f t="shared" ref="D1772:D1801" si="93">IF(AND(B1772&lt;&gt;"",C1772&lt;&gt;""),"N/T","")</f>
        <v/>
      </c>
      <c r="E1772" s="107" t="str">
        <f t="shared" si="92"/>
        <v/>
      </c>
      <c r="F1772" s="19"/>
      <c r="G1772" s="19"/>
      <c r="H1772" s="19"/>
      <c r="I1772" s="19"/>
      <c r="J1772" s="19"/>
      <c r="K1772" s="234"/>
    </row>
    <row r="1773" spans="1:11" ht="12" customHeight="1">
      <c r="A1773" s="219" t="str" cm="1">
        <f t="array" ref="A1773">IFERROR(INDEX('03.Muestra'!$B$8:$B$42,SMALL(IF("Página Web"='03.Muestra'!$D$8:$D$42,ROW('03.Muestra'!$B$8:$B$42)-MIN(ROW('03.Muestra'!$D$8:$D$42))+1,""),ROW()-1766)),"")</f>
        <v/>
      </c>
      <c r="B1773" s="114" t="str" cm="1">
        <f t="array" ref="B1773">IFERROR(INDEX('03.Muestra'!$C$8:$C$42,SMALL(IF("Página Web"='03.Muestra'!$D$8:$D$42,ROW('03.Muestra'!$C$8:$C$42)-MIN(ROW('03.Muestra'!$D$8:$D$42))+1,""),ROW()-1766)),"")</f>
        <v/>
      </c>
      <c r="C1773" s="114" t="str" cm="1">
        <f t="array" ref="C1773">IFERROR(INDEX('03.Muestra'!$F$8:$F$42,SMALL(IF("Página Web"='03.Muestra'!$D$8:$D$42,ROW('03.Muestra'!$F$8:$F$42)-MIN(ROW('03.Muestra'!$D$8:$D$42))+1,""),ROW()-1766)),"")</f>
        <v/>
      </c>
      <c r="D1773" s="130" t="str">
        <f t="shared" si="93"/>
        <v/>
      </c>
      <c r="E1773" s="107" t="str">
        <f t="shared" si="92"/>
        <v/>
      </c>
      <c r="F1773" s="19"/>
      <c r="G1773" s="19"/>
      <c r="H1773" s="19"/>
      <c r="I1773" s="19"/>
      <c r="J1773" s="19"/>
      <c r="K1773" s="233"/>
    </row>
    <row r="1774" spans="1:11" ht="12" customHeight="1">
      <c r="A1774" s="219" t="str" cm="1">
        <f t="array" ref="A1774">IFERROR(INDEX('03.Muestra'!$B$8:$B$42,SMALL(IF("Página Web"='03.Muestra'!$D$8:$D$42,ROW('03.Muestra'!$B$8:$B$42)-MIN(ROW('03.Muestra'!$D$8:$D$42))+1,""),ROW()-1766)),"")</f>
        <v/>
      </c>
      <c r="B1774" s="114" t="str" cm="1">
        <f t="array" ref="B1774">IFERROR(INDEX('03.Muestra'!$C$8:$C$42,SMALL(IF("Página Web"='03.Muestra'!$D$8:$D$42,ROW('03.Muestra'!$C$8:$C$42)-MIN(ROW('03.Muestra'!$D$8:$D$42))+1,""),ROW()-1766)),"")</f>
        <v/>
      </c>
      <c r="C1774" s="114" t="str" cm="1">
        <f t="array" ref="C1774">IFERROR(INDEX('03.Muestra'!$F$8:$F$42,SMALL(IF("Página Web"='03.Muestra'!$D$8:$D$42,ROW('03.Muestra'!$F$8:$F$42)-MIN(ROW('03.Muestra'!$D$8:$D$42))+1,""),ROW()-1766)),"")</f>
        <v/>
      </c>
      <c r="D1774" s="130" t="str">
        <f t="shared" si="93"/>
        <v/>
      </c>
      <c r="E1774" s="107" t="str">
        <f t="shared" si="92"/>
        <v/>
      </c>
      <c r="F1774" s="19"/>
      <c r="G1774" s="19"/>
      <c r="H1774" s="19"/>
      <c r="I1774" s="19"/>
      <c r="J1774" s="19"/>
      <c r="K1774" s="233"/>
    </row>
    <row r="1775" spans="1:11" ht="12" customHeight="1">
      <c r="A1775" s="219" t="str" cm="1">
        <f t="array" ref="A1775">IFERROR(INDEX('03.Muestra'!$B$8:$B$42,SMALL(IF("Página Web"='03.Muestra'!$D$8:$D$42,ROW('03.Muestra'!$B$8:$B$42)-MIN(ROW('03.Muestra'!$D$8:$D$42))+1,""),ROW()-1766)),"")</f>
        <v/>
      </c>
      <c r="B1775" s="114" t="str" cm="1">
        <f t="array" ref="B1775">IFERROR(INDEX('03.Muestra'!$C$8:$C$42,SMALL(IF("Página Web"='03.Muestra'!$D$8:$D$42,ROW('03.Muestra'!$C$8:$C$42)-MIN(ROW('03.Muestra'!$D$8:$D$42))+1,""),ROW()-1766)),"")</f>
        <v/>
      </c>
      <c r="C1775" s="114" t="str" cm="1">
        <f t="array" ref="C1775">IFERROR(INDEX('03.Muestra'!$F$8:$F$42,SMALL(IF("Página Web"='03.Muestra'!$D$8:$D$42,ROW('03.Muestra'!$F$8:$F$42)-MIN(ROW('03.Muestra'!$D$8:$D$42))+1,""),ROW()-1766)),"")</f>
        <v/>
      </c>
      <c r="D1775" s="130" t="str">
        <f t="shared" si="93"/>
        <v/>
      </c>
      <c r="E1775" s="107" t="str">
        <f t="shared" si="92"/>
        <v/>
      </c>
      <c r="F1775" s="19"/>
      <c r="G1775" s="19"/>
      <c r="H1775" s="19"/>
      <c r="I1775" s="19"/>
      <c r="J1775" s="19"/>
      <c r="K1775" s="233"/>
    </row>
    <row r="1776" spans="1:11" ht="12" customHeight="1">
      <c r="A1776" s="219" t="str" cm="1">
        <f t="array" ref="A1776">IFERROR(INDEX('03.Muestra'!$B$8:$B$42,SMALL(IF("Página Web"='03.Muestra'!$D$8:$D$42,ROW('03.Muestra'!$B$8:$B$42)-MIN(ROW('03.Muestra'!$D$8:$D$42))+1,""),ROW()-1766)),"")</f>
        <v/>
      </c>
      <c r="B1776" s="114" t="str" cm="1">
        <f t="array" ref="B1776">IFERROR(INDEX('03.Muestra'!$C$8:$C$42,SMALL(IF("Página Web"='03.Muestra'!$D$8:$D$42,ROW('03.Muestra'!$C$8:$C$42)-MIN(ROW('03.Muestra'!$D$8:$D$42))+1,""),ROW()-1766)),"")</f>
        <v/>
      </c>
      <c r="C1776" s="114" t="str" cm="1">
        <f t="array" ref="C1776">IFERROR(INDEX('03.Muestra'!$F$8:$F$42,SMALL(IF("Página Web"='03.Muestra'!$D$8:$D$42,ROW('03.Muestra'!$F$8:$F$42)-MIN(ROW('03.Muestra'!$D$8:$D$42))+1,""),ROW()-1766)),"")</f>
        <v/>
      </c>
      <c r="D1776" s="130" t="str">
        <f t="shared" si="93"/>
        <v/>
      </c>
      <c r="E1776" s="107" t="str">
        <f t="shared" si="92"/>
        <v/>
      </c>
      <c r="F1776" s="19"/>
      <c r="G1776" s="19"/>
      <c r="H1776" s="19"/>
      <c r="I1776" s="19"/>
      <c r="J1776" s="19"/>
      <c r="K1776" s="233"/>
    </row>
    <row r="1777" spans="1:11" ht="12" customHeight="1">
      <c r="A1777" s="219" t="str" cm="1">
        <f t="array" ref="A1777">IFERROR(INDEX('03.Muestra'!$B$8:$B$42,SMALL(IF("Página Web"='03.Muestra'!$D$8:$D$42,ROW('03.Muestra'!$B$8:$B$42)-MIN(ROW('03.Muestra'!$D$8:$D$42))+1,""),ROW()-1766)),"")</f>
        <v/>
      </c>
      <c r="B1777" s="114" t="str" cm="1">
        <f t="array" ref="B1777">IFERROR(INDEX('03.Muestra'!$C$8:$C$42,SMALL(IF("Página Web"='03.Muestra'!$D$8:$D$42,ROW('03.Muestra'!$C$8:$C$42)-MIN(ROW('03.Muestra'!$D$8:$D$42))+1,""),ROW()-1766)),"")</f>
        <v/>
      </c>
      <c r="C1777" s="114" t="str" cm="1">
        <f t="array" ref="C1777">IFERROR(INDEX('03.Muestra'!$F$8:$F$42,SMALL(IF("Página Web"='03.Muestra'!$D$8:$D$42,ROW('03.Muestra'!$F$8:$F$42)-MIN(ROW('03.Muestra'!$D$8:$D$42))+1,""),ROW()-1766)),"")</f>
        <v/>
      </c>
      <c r="D1777" s="130" t="str">
        <f t="shared" si="93"/>
        <v/>
      </c>
      <c r="E1777" s="107" t="str">
        <f t="shared" si="92"/>
        <v/>
      </c>
      <c r="F1777" s="19"/>
      <c r="G1777" s="19"/>
      <c r="H1777" s="19"/>
      <c r="I1777" s="19"/>
      <c r="J1777" s="19"/>
      <c r="K1777" s="233"/>
    </row>
    <row r="1778" spans="1:11" ht="12" customHeight="1">
      <c r="A1778" s="219" t="str" cm="1">
        <f t="array" ref="A1778">IFERROR(INDEX('03.Muestra'!$B$8:$B$42,SMALL(IF("Página Web"='03.Muestra'!$D$8:$D$42,ROW('03.Muestra'!$B$8:$B$42)-MIN(ROW('03.Muestra'!$D$8:$D$42))+1,""),ROW()-1766)),"")</f>
        <v/>
      </c>
      <c r="B1778" s="114" t="str" cm="1">
        <f t="array" ref="B1778">IFERROR(INDEX('03.Muestra'!$C$8:$C$42,SMALL(IF("Página Web"='03.Muestra'!$D$8:$D$42,ROW('03.Muestra'!$C$8:$C$42)-MIN(ROW('03.Muestra'!$D$8:$D$42))+1,""),ROW()-1766)),"")</f>
        <v/>
      </c>
      <c r="C1778" s="114" t="str" cm="1">
        <f t="array" ref="C1778">IFERROR(INDEX('03.Muestra'!$F$8:$F$42,SMALL(IF("Página Web"='03.Muestra'!$D$8:$D$42,ROW('03.Muestra'!$F$8:$F$42)-MIN(ROW('03.Muestra'!$D$8:$D$42))+1,""),ROW()-1766)),"")</f>
        <v/>
      </c>
      <c r="D1778" s="130" t="str">
        <f t="shared" si="93"/>
        <v/>
      </c>
      <c r="E1778" s="107" t="str">
        <f t="shared" si="92"/>
        <v/>
      </c>
      <c r="F1778" s="19"/>
      <c r="G1778" s="19"/>
      <c r="H1778" s="19"/>
      <c r="I1778" s="19"/>
      <c r="J1778" s="19"/>
      <c r="K1778" s="233"/>
    </row>
    <row r="1779" spans="1:11" ht="12" customHeight="1">
      <c r="A1779" s="219" t="str" cm="1">
        <f t="array" ref="A1779">IFERROR(INDEX('03.Muestra'!$B$8:$B$42,SMALL(IF("Página Web"='03.Muestra'!$D$8:$D$42,ROW('03.Muestra'!$B$8:$B$42)-MIN(ROW('03.Muestra'!$D$8:$D$42))+1,""),ROW()-1766)),"")</f>
        <v/>
      </c>
      <c r="B1779" s="114" t="str" cm="1">
        <f t="array" ref="B1779">IFERROR(INDEX('03.Muestra'!$C$8:$C$42,SMALL(IF("Página Web"='03.Muestra'!$D$8:$D$42,ROW('03.Muestra'!$C$8:$C$42)-MIN(ROW('03.Muestra'!$D$8:$D$42))+1,""),ROW()-1766)),"")</f>
        <v/>
      </c>
      <c r="C1779" s="114" t="str" cm="1">
        <f t="array" ref="C1779">IFERROR(INDEX('03.Muestra'!$F$8:$F$42,SMALL(IF("Página Web"='03.Muestra'!$D$8:$D$42,ROW('03.Muestra'!$F$8:$F$42)-MIN(ROW('03.Muestra'!$D$8:$D$42))+1,""),ROW()-1766)),"")</f>
        <v/>
      </c>
      <c r="D1779" s="130" t="str">
        <f t="shared" si="93"/>
        <v/>
      </c>
      <c r="E1779" s="107" t="str">
        <f t="shared" si="92"/>
        <v/>
      </c>
      <c r="F1779" s="19"/>
      <c r="G1779" s="19"/>
      <c r="H1779" s="19"/>
      <c r="I1779" s="19"/>
      <c r="J1779" s="19"/>
      <c r="K1779" s="233"/>
    </row>
    <row r="1780" spans="1:11" ht="12" customHeight="1">
      <c r="A1780" s="219" t="str" cm="1">
        <f t="array" ref="A1780">IFERROR(INDEX('03.Muestra'!$B$8:$B$42,SMALL(IF("Página Web"='03.Muestra'!$D$8:$D$42,ROW('03.Muestra'!$B$8:$B$42)-MIN(ROW('03.Muestra'!$D$8:$D$42))+1,""),ROW()-1766)),"")</f>
        <v/>
      </c>
      <c r="B1780" s="114" t="str" cm="1">
        <f t="array" ref="B1780">IFERROR(INDEX('03.Muestra'!$C$8:$C$42,SMALL(IF("Página Web"='03.Muestra'!$D$8:$D$42,ROW('03.Muestra'!$C$8:$C$42)-MIN(ROW('03.Muestra'!$D$8:$D$42))+1,""),ROW()-1766)),"")</f>
        <v/>
      </c>
      <c r="C1780" s="114" t="str" cm="1">
        <f t="array" ref="C1780">IFERROR(INDEX('03.Muestra'!$F$8:$F$42,SMALL(IF("Página Web"='03.Muestra'!$D$8:$D$42,ROW('03.Muestra'!$F$8:$F$42)-MIN(ROW('03.Muestra'!$D$8:$D$42))+1,""),ROW()-1766)),"")</f>
        <v/>
      </c>
      <c r="D1780" s="130" t="str">
        <f t="shared" si="93"/>
        <v/>
      </c>
      <c r="E1780" s="107" t="str">
        <f t="shared" si="92"/>
        <v/>
      </c>
      <c r="F1780" s="19"/>
      <c r="G1780" s="19"/>
      <c r="H1780" s="19"/>
      <c r="I1780" s="19"/>
      <c r="J1780" s="19"/>
      <c r="K1780" s="233"/>
    </row>
    <row r="1781" spans="1:11" ht="12" customHeight="1">
      <c r="A1781" s="219" t="str" cm="1">
        <f t="array" ref="A1781">IFERROR(INDEX('03.Muestra'!$B$8:$B$42,SMALL(IF("Página Web"='03.Muestra'!$D$8:$D$42,ROW('03.Muestra'!$B$8:$B$42)-MIN(ROW('03.Muestra'!$D$8:$D$42))+1,""),ROW()-1766)),"")</f>
        <v/>
      </c>
      <c r="B1781" s="114" t="str" cm="1">
        <f t="array" ref="B1781">IFERROR(INDEX('03.Muestra'!$C$8:$C$42,SMALL(IF("Página Web"='03.Muestra'!$D$8:$D$42,ROW('03.Muestra'!$C$8:$C$42)-MIN(ROW('03.Muestra'!$D$8:$D$42))+1,""),ROW()-1766)),"")</f>
        <v/>
      </c>
      <c r="C1781" s="114" t="str" cm="1">
        <f t="array" ref="C1781">IFERROR(INDEX('03.Muestra'!$F$8:$F$42,SMALL(IF("Página Web"='03.Muestra'!$D$8:$D$42,ROW('03.Muestra'!$F$8:$F$42)-MIN(ROW('03.Muestra'!$D$8:$D$42))+1,""),ROW()-1766)),"")</f>
        <v/>
      </c>
      <c r="D1781" s="130" t="str">
        <f t="shared" si="93"/>
        <v/>
      </c>
      <c r="E1781" s="107" t="str">
        <f t="shared" si="92"/>
        <v/>
      </c>
      <c r="F1781" s="19"/>
      <c r="G1781" s="19"/>
      <c r="H1781" s="19"/>
      <c r="I1781" s="19"/>
      <c r="J1781" s="19"/>
      <c r="K1781" s="233"/>
    </row>
    <row r="1782" spans="1:11" ht="12" customHeight="1">
      <c r="A1782" s="219" t="str" cm="1">
        <f t="array" ref="A1782">IFERROR(INDEX('03.Muestra'!$B$8:$B$42,SMALL(IF("Página Web"='03.Muestra'!$D$8:$D$42,ROW('03.Muestra'!$B$8:$B$42)-MIN(ROW('03.Muestra'!$D$8:$D$42))+1,""),ROW()-1766)),"")</f>
        <v/>
      </c>
      <c r="B1782" s="114" t="str" cm="1">
        <f t="array" ref="B1782">IFERROR(INDEX('03.Muestra'!$C$8:$C$42,SMALL(IF("Página Web"='03.Muestra'!$D$8:$D$42,ROW('03.Muestra'!$C$8:$C$42)-MIN(ROW('03.Muestra'!$D$8:$D$42))+1,""),ROW()-1766)),"")</f>
        <v/>
      </c>
      <c r="C1782" s="114" t="str" cm="1">
        <f t="array" ref="C1782">IFERROR(INDEX('03.Muestra'!$F$8:$F$42,SMALL(IF("Página Web"='03.Muestra'!$D$8:$D$42,ROW('03.Muestra'!$F$8:$F$42)-MIN(ROW('03.Muestra'!$D$8:$D$42))+1,""),ROW()-1766)),"")</f>
        <v/>
      </c>
      <c r="D1782" s="130" t="str">
        <f t="shared" si="93"/>
        <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si="93"/>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http://www.madrid.org/presupuestos</v>
      </c>
      <c r="D1805" s="130" t="s">
        <v>28</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Menu 1</v>
      </c>
      <c r="C1806" s="114" t="str" cm="1">
        <f t="array" ref="C1806">IFERROR(INDEX('03.Muestra'!$F$8:$F$42,SMALL(IF("Página Web"='03.Muestra'!$D$8:$D$42,ROW('03.Muestra'!$F$8:$F$42)-MIN(ROW('03.Muestra'!$D$8:$D$42))+1,""),ROW()-1804)),"")</f>
        <v>http://www.madrid.org/presupuestos/index.php/presupuestos-generales/presupuestos-cm/2022</v>
      </c>
      <c r="D1806" s="130" t="s">
        <v>26</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1</v>
      </c>
      <c r="J1806" s="120">
        <f ca="1">COUNTIF($D1805:INDIRECT("$D" &amp;  SUM(ROW()-1,'03.Muestra'!$D$45)-1),J1805)</f>
        <v>4</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Menu 2</v>
      </c>
      <c r="C1807" s="114" t="str" cm="1">
        <f t="array" ref="C1807">IFERROR(INDEX('03.Muestra'!$F$8:$F$42,SMALL(IF("Página Web"='03.Muestra'!$D$8:$D$42,ROW('03.Muestra'!$F$8:$F$42)-MIN(ROW('03.Muestra'!$D$8:$D$42))+1,""),ROW()-1804)),"")</f>
        <v>http://www.madrid.org/presupuestos/index.php/ejecucion-presupuestaria</v>
      </c>
      <c r="D1807" s="130" t="s">
        <v>26</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Menu 3</v>
      </c>
      <c r="C1808" s="114" t="str" cm="1">
        <f t="array" ref="C1808">IFERROR(INDEX('03.Muestra'!$F$8:$F$42,SMALL(IF("Página Web"='03.Muestra'!$D$8:$D$42,ROW('03.Muestra'!$F$8:$F$42)-MIN(ROW('03.Muestra'!$D$8:$D$42))+1,""),ROW()-1804)),"")</f>
        <v>http://www.madrid.org/presupuestos/index.php/transparencia</v>
      </c>
      <c r="D1808" s="130" t="s">
        <v>26</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Accesibilidad</v>
      </c>
      <c r="C1809" s="114" t="str" cm="1">
        <f t="array" ref="C1809">IFERROR(INDEX('03.Muestra'!$F$8:$F$42,SMALL(IF("Página Web"='03.Muestra'!$D$8:$D$42,ROW('03.Muestra'!$F$8:$F$42)-MIN(ROW('03.Muestra'!$D$8:$D$42))+1,""),ROW()-1804)),"")</f>
        <v>http://www.madrid.org/presupuestos/index.php/accesibilidad-web</v>
      </c>
      <c r="D1809" s="130" t="s">
        <v>26</v>
      </c>
      <c r="E1809" s="107" t="str">
        <f t="shared" si="94"/>
        <v/>
      </c>
      <c r="G1809" s="19"/>
      <c r="H1809" s="19"/>
      <c r="I1809" s="19"/>
      <c r="J1809" s="19"/>
      <c r="K1809" s="233"/>
    </row>
    <row r="1810" spans="1:11" ht="12" customHeight="1">
      <c r="A1810" s="219" t="str" cm="1">
        <f t="array" ref="A1810">IFERROR(INDEX('03.Muestra'!$B$8:$B$42,SMALL(IF("Página Web"='03.Muestra'!$D$8:$D$42,ROW('03.Muestra'!$B$8:$B$42)-MIN(ROW('03.Muestra'!$D$8:$D$42))+1,""),ROW()-1804)),"")</f>
        <v/>
      </c>
      <c r="B1810" s="114" t="str" cm="1">
        <f t="array" ref="B1810">IFERROR(INDEX('03.Muestra'!$C$8:$C$42,SMALL(IF("Página Web"='03.Muestra'!$D$8:$D$42,ROW('03.Muestra'!$C$8:$C$42)-MIN(ROW('03.Muestra'!$D$8:$D$42))+1,""),ROW()-1804)),"")</f>
        <v/>
      </c>
      <c r="C1810" s="114" t="str" cm="1">
        <f t="array" ref="C1810">IFERROR(INDEX('03.Muestra'!$F$8:$F$42,SMALL(IF("Página Web"='03.Muestra'!$D$8:$D$42,ROW('03.Muestra'!$F$8:$F$42)-MIN(ROW('03.Muestra'!$D$8:$D$42))+1,""),ROW()-1804)),"")</f>
        <v/>
      </c>
      <c r="D1810" s="130"/>
      <c r="E1810" s="107" t="str">
        <f t="shared" si="94"/>
        <v/>
      </c>
      <c r="G1810" s="19"/>
      <c r="H1810" s="19"/>
      <c r="I1810" s="19"/>
      <c r="J1810" s="19"/>
      <c r="K1810" s="233"/>
    </row>
    <row r="1811" spans="1:11" ht="12" customHeight="1">
      <c r="A1811" s="219" t="str" cm="1">
        <f t="array" ref="A1811">IFERROR(INDEX('03.Muestra'!$B$8:$B$42,SMALL(IF("Página Web"='03.Muestra'!$D$8:$D$42,ROW('03.Muestra'!$B$8:$B$42)-MIN(ROW('03.Muestra'!$D$8:$D$42))+1,""),ROW()-1804)),"")</f>
        <v/>
      </c>
      <c r="B1811" s="114" t="str" cm="1">
        <f t="array" ref="B1811">IFERROR(INDEX('03.Muestra'!$C$8:$C$42,SMALL(IF("Página Web"='03.Muestra'!$D$8:$D$42,ROW('03.Muestra'!$C$8:$C$42)-MIN(ROW('03.Muestra'!$D$8:$D$42))+1,""),ROW()-1804)),"")</f>
        <v/>
      </c>
      <c r="C1811" s="114" t="str" cm="1">
        <f t="array" ref="C1811">IFERROR(INDEX('03.Muestra'!$F$8:$F$42,SMALL(IF("Página Web"='03.Muestra'!$D$8:$D$42,ROW('03.Muestra'!$F$8:$F$42)-MIN(ROW('03.Muestra'!$D$8:$D$42))+1,""),ROW()-1804)),"")</f>
        <v/>
      </c>
      <c r="D1811" s="130" t="str">
        <f t="shared" ref="D1811:D1839" si="95">IF(AND(B1811&lt;&gt;"",C1811&lt;&gt;""),"N/T","")</f>
        <v/>
      </c>
      <c r="E1811" s="107" t="str">
        <f t="shared" si="94"/>
        <v/>
      </c>
      <c r="F1811" s="19"/>
      <c r="G1811" s="19"/>
      <c r="H1811" s="19"/>
      <c r="I1811" s="19"/>
      <c r="J1811" s="19"/>
      <c r="K1811" s="233"/>
    </row>
    <row r="1812" spans="1:11" ht="12" customHeight="1">
      <c r="A1812" s="219" t="str" cm="1">
        <f t="array" ref="A1812">IFERROR(INDEX('03.Muestra'!$B$8:$B$42,SMALL(IF("Página Web"='03.Muestra'!$D$8:$D$42,ROW('03.Muestra'!$B$8:$B$42)-MIN(ROW('03.Muestra'!$D$8:$D$42))+1,""),ROW()-1804)),"")</f>
        <v/>
      </c>
      <c r="B1812" s="114" t="str" cm="1">
        <f t="array" ref="B1812">IFERROR(INDEX('03.Muestra'!$C$8:$C$42,SMALL(IF("Página Web"='03.Muestra'!$D$8:$D$42,ROW('03.Muestra'!$C$8:$C$42)-MIN(ROW('03.Muestra'!$D$8:$D$42))+1,""),ROW()-1804)),"")</f>
        <v/>
      </c>
      <c r="C1812" s="114" t="str" cm="1">
        <f t="array" ref="C1812">IFERROR(INDEX('03.Muestra'!$F$8:$F$42,SMALL(IF("Página Web"='03.Muestra'!$D$8:$D$42,ROW('03.Muestra'!$F$8:$F$42)-MIN(ROW('03.Muestra'!$D$8:$D$42))+1,""),ROW()-1804)),"")</f>
        <v/>
      </c>
      <c r="D1812" s="130" t="str">
        <f t="shared" si="95"/>
        <v/>
      </c>
      <c r="E1812" s="107" t="str">
        <f t="shared" si="94"/>
        <v/>
      </c>
      <c r="F1812" s="19"/>
      <c r="G1812" s="19"/>
      <c r="H1812" s="19"/>
      <c r="I1812" s="19"/>
      <c r="J1812" s="19"/>
      <c r="K1812" s="233"/>
    </row>
    <row r="1813" spans="1:11" ht="12" customHeight="1">
      <c r="A1813" s="219" t="str" cm="1">
        <f t="array" ref="A1813">IFERROR(INDEX('03.Muestra'!$B$8:$B$42,SMALL(IF("Página Web"='03.Muestra'!$D$8:$D$42,ROW('03.Muestra'!$B$8:$B$42)-MIN(ROW('03.Muestra'!$D$8:$D$42))+1,""),ROW()-1804)),"")</f>
        <v/>
      </c>
      <c r="B1813" s="114" t="str" cm="1">
        <f t="array" ref="B1813">IFERROR(INDEX('03.Muestra'!$C$8:$C$42,SMALL(IF("Página Web"='03.Muestra'!$D$8:$D$42,ROW('03.Muestra'!$C$8:$C$42)-MIN(ROW('03.Muestra'!$D$8:$D$42))+1,""),ROW()-1804)),"")</f>
        <v/>
      </c>
      <c r="C1813" s="114" t="str" cm="1">
        <f t="array" ref="C1813">IFERROR(INDEX('03.Muestra'!$F$8:$F$42,SMALL(IF("Página Web"='03.Muestra'!$D$8:$D$42,ROW('03.Muestra'!$F$8:$F$42)-MIN(ROW('03.Muestra'!$D$8:$D$42))+1,""),ROW()-1804)),"")</f>
        <v/>
      </c>
      <c r="D1813" s="130" t="str">
        <f t="shared" si="95"/>
        <v/>
      </c>
      <c r="E1813" s="107" t="str">
        <f t="shared" si="94"/>
        <v/>
      </c>
      <c r="F1813" s="19"/>
      <c r="G1813" s="19"/>
      <c r="H1813" s="19"/>
      <c r="I1813" s="19"/>
      <c r="J1813" s="19"/>
      <c r="K1813" s="233"/>
    </row>
    <row r="1814" spans="1:11" ht="12" customHeight="1">
      <c r="A1814" s="219" t="str" cm="1">
        <f t="array" ref="A1814">IFERROR(INDEX('03.Muestra'!$B$8:$B$42,SMALL(IF("Página Web"='03.Muestra'!$D$8:$D$42,ROW('03.Muestra'!$B$8:$B$42)-MIN(ROW('03.Muestra'!$D$8:$D$42))+1,""),ROW()-1804)),"")</f>
        <v/>
      </c>
      <c r="B1814" s="114" t="str" cm="1">
        <f t="array" ref="B1814">IFERROR(INDEX('03.Muestra'!$C$8:$C$42,SMALL(IF("Página Web"='03.Muestra'!$D$8:$D$42,ROW('03.Muestra'!$C$8:$C$42)-MIN(ROW('03.Muestra'!$D$8:$D$42))+1,""),ROW()-1804)),"")</f>
        <v/>
      </c>
      <c r="C1814" s="114" t="str" cm="1">
        <f t="array" ref="C1814">IFERROR(INDEX('03.Muestra'!$F$8:$F$42,SMALL(IF("Página Web"='03.Muestra'!$D$8:$D$42,ROW('03.Muestra'!$F$8:$F$42)-MIN(ROW('03.Muestra'!$D$8:$D$42))+1,""),ROW()-1804)),"")</f>
        <v/>
      </c>
      <c r="D1814" s="130" t="str">
        <f t="shared" si="95"/>
        <v/>
      </c>
      <c r="E1814" s="107" t="str">
        <f t="shared" si="94"/>
        <v/>
      </c>
      <c r="F1814" s="19"/>
      <c r="G1814" s="19"/>
      <c r="H1814" s="19"/>
      <c r="I1814" s="19"/>
      <c r="J1814" s="19"/>
      <c r="K1814" s="233"/>
    </row>
    <row r="1815" spans="1:11" ht="12" customHeight="1">
      <c r="A1815" s="219" t="str" cm="1">
        <f t="array" ref="A1815">IFERROR(INDEX('03.Muestra'!$B$8:$B$42,SMALL(IF("Página Web"='03.Muestra'!$D$8:$D$42,ROW('03.Muestra'!$B$8:$B$42)-MIN(ROW('03.Muestra'!$D$8:$D$42))+1,""),ROW()-1804)),"")</f>
        <v/>
      </c>
      <c r="B1815" s="114" t="str" cm="1">
        <f t="array" ref="B1815">IFERROR(INDEX('03.Muestra'!$C$8:$C$42,SMALL(IF("Página Web"='03.Muestra'!$D$8:$D$42,ROW('03.Muestra'!$C$8:$C$42)-MIN(ROW('03.Muestra'!$D$8:$D$42))+1,""),ROW()-1804)),"")</f>
        <v/>
      </c>
      <c r="C1815" s="114" t="str" cm="1">
        <f t="array" ref="C1815">IFERROR(INDEX('03.Muestra'!$F$8:$F$42,SMALL(IF("Página Web"='03.Muestra'!$D$8:$D$42,ROW('03.Muestra'!$F$8:$F$42)-MIN(ROW('03.Muestra'!$D$8:$D$42))+1,""),ROW()-1804)),"")</f>
        <v/>
      </c>
      <c r="D1815" s="130" t="str">
        <f t="shared" si="95"/>
        <v/>
      </c>
      <c r="E1815" s="107" t="str">
        <f t="shared" si="94"/>
        <v/>
      </c>
      <c r="F1815" s="19"/>
      <c r="G1815" s="19"/>
      <c r="H1815" s="19"/>
      <c r="I1815" s="19"/>
      <c r="J1815" s="19"/>
      <c r="K1815" s="233"/>
    </row>
    <row r="1816" spans="1:11" ht="12" customHeight="1">
      <c r="A1816" s="219" t="str" cm="1">
        <f t="array" ref="A1816">IFERROR(INDEX('03.Muestra'!$B$8:$B$42,SMALL(IF("Página Web"='03.Muestra'!$D$8:$D$42,ROW('03.Muestra'!$B$8:$B$42)-MIN(ROW('03.Muestra'!$D$8:$D$42))+1,""),ROW()-1804)),"")</f>
        <v/>
      </c>
      <c r="B1816" s="114" t="str" cm="1">
        <f t="array" ref="B1816">IFERROR(INDEX('03.Muestra'!$C$8:$C$42,SMALL(IF("Página Web"='03.Muestra'!$D$8:$D$42,ROW('03.Muestra'!$C$8:$C$42)-MIN(ROW('03.Muestra'!$D$8:$D$42))+1,""),ROW()-1804)),"")</f>
        <v/>
      </c>
      <c r="C1816" s="114" t="str" cm="1">
        <f t="array" ref="C1816">IFERROR(INDEX('03.Muestra'!$F$8:$F$42,SMALL(IF("Página Web"='03.Muestra'!$D$8:$D$42,ROW('03.Muestra'!$F$8:$F$42)-MIN(ROW('03.Muestra'!$D$8:$D$42))+1,""),ROW()-1804)),"")</f>
        <v/>
      </c>
      <c r="D1816" s="130" t="str">
        <f t="shared" si="95"/>
        <v/>
      </c>
      <c r="E1816" s="107" t="str">
        <f t="shared" si="94"/>
        <v/>
      </c>
      <c r="F1816" s="19"/>
      <c r="G1816" s="19"/>
      <c r="H1816" s="19"/>
      <c r="I1816" s="19"/>
      <c r="J1816" s="19"/>
      <c r="K1816" s="233"/>
    </row>
    <row r="1817" spans="1:11" ht="12" customHeight="1">
      <c r="A1817" s="219" t="str" cm="1">
        <f t="array" ref="A1817">IFERROR(INDEX('03.Muestra'!$B$8:$B$42,SMALL(IF("Página Web"='03.Muestra'!$D$8:$D$42,ROW('03.Muestra'!$B$8:$B$42)-MIN(ROW('03.Muestra'!$D$8:$D$42))+1,""),ROW()-1804)),"")</f>
        <v/>
      </c>
      <c r="B1817" s="114" t="str" cm="1">
        <f t="array" ref="B1817">IFERROR(INDEX('03.Muestra'!$C$8:$C$42,SMALL(IF("Página Web"='03.Muestra'!$D$8:$D$42,ROW('03.Muestra'!$C$8:$C$42)-MIN(ROW('03.Muestra'!$D$8:$D$42))+1,""),ROW()-1804)),"")</f>
        <v/>
      </c>
      <c r="C1817" s="114" t="str" cm="1">
        <f t="array" ref="C1817">IFERROR(INDEX('03.Muestra'!$F$8:$F$42,SMALL(IF("Página Web"='03.Muestra'!$D$8:$D$42,ROW('03.Muestra'!$F$8:$F$42)-MIN(ROW('03.Muestra'!$D$8:$D$42))+1,""),ROW()-1804)),"")</f>
        <v/>
      </c>
      <c r="D1817" s="130" t="str">
        <f t="shared" si="95"/>
        <v/>
      </c>
      <c r="E1817" s="107" t="str">
        <f t="shared" si="94"/>
        <v/>
      </c>
      <c r="F1817" s="19"/>
      <c r="G1817" s="19"/>
      <c r="H1817" s="19"/>
      <c r="I1817" s="19"/>
      <c r="J1817" s="19"/>
      <c r="K1817" s="233"/>
    </row>
    <row r="1818" spans="1:11" ht="12" customHeight="1">
      <c r="A1818" s="219" t="str" cm="1">
        <f t="array" ref="A1818">IFERROR(INDEX('03.Muestra'!$B$8:$B$42,SMALL(IF("Página Web"='03.Muestra'!$D$8:$D$42,ROW('03.Muestra'!$B$8:$B$42)-MIN(ROW('03.Muestra'!$D$8:$D$42))+1,""),ROW()-1804)),"")</f>
        <v/>
      </c>
      <c r="B1818" s="114" t="str" cm="1">
        <f t="array" ref="B1818">IFERROR(INDEX('03.Muestra'!$C$8:$C$42,SMALL(IF("Página Web"='03.Muestra'!$D$8:$D$42,ROW('03.Muestra'!$C$8:$C$42)-MIN(ROW('03.Muestra'!$D$8:$D$42))+1,""),ROW()-1804)),"")</f>
        <v/>
      </c>
      <c r="C1818" s="114" t="str" cm="1">
        <f t="array" ref="C1818">IFERROR(INDEX('03.Muestra'!$F$8:$F$42,SMALL(IF("Página Web"='03.Muestra'!$D$8:$D$42,ROW('03.Muestra'!$F$8:$F$42)-MIN(ROW('03.Muestra'!$D$8:$D$42))+1,""),ROW()-1804)),"")</f>
        <v/>
      </c>
      <c r="D1818" s="130" t="str">
        <f t="shared" si="95"/>
        <v/>
      </c>
      <c r="E1818" s="107" t="str">
        <f t="shared" si="94"/>
        <v/>
      </c>
      <c r="F1818" s="19"/>
      <c r="G1818" s="19"/>
      <c r="H1818" s="19"/>
      <c r="I1818" s="19"/>
      <c r="J1818" s="19"/>
      <c r="K1818" s="233"/>
    </row>
    <row r="1819" spans="1:11" ht="12" customHeight="1">
      <c r="A1819" s="219" t="str" cm="1">
        <f t="array" ref="A1819">IFERROR(INDEX('03.Muestra'!$B$8:$B$42,SMALL(IF("Página Web"='03.Muestra'!$D$8:$D$42,ROW('03.Muestra'!$B$8:$B$42)-MIN(ROW('03.Muestra'!$D$8:$D$42))+1,""),ROW()-1804)),"")</f>
        <v/>
      </c>
      <c r="B1819" s="114" t="str" cm="1">
        <f t="array" ref="B1819">IFERROR(INDEX('03.Muestra'!$C$8:$C$42,SMALL(IF("Página Web"='03.Muestra'!$D$8:$D$42,ROW('03.Muestra'!$C$8:$C$42)-MIN(ROW('03.Muestra'!$D$8:$D$42))+1,""),ROW()-1804)),"")</f>
        <v/>
      </c>
      <c r="C1819" s="114" t="str" cm="1">
        <f t="array" ref="C1819">IFERROR(INDEX('03.Muestra'!$F$8:$F$42,SMALL(IF("Página Web"='03.Muestra'!$D$8:$D$42,ROW('03.Muestra'!$F$8:$F$42)-MIN(ROW('03.Muestra'!$D$8:$D$42))+1,""),ROW()-1804)),"")</f>
        <v/>
      </c>
      <c r="D1819" s="130" t="str">
        <f t="shared" si="95"/>
        <v/>
      </c>
      <c r="E1819" s="107" t="str">
        <f t="shared" si="94"/>
        <v/>
      </c>
      <c r="F1819" s="19"/>
      <c r="G1819" s="19"/>
      <c r="H1819" s="19"/>
      <c r="I1819" s="19"/>
      <c r="J1819" s="19"/>
      <c r="K1819" s="233"/>
    </row>
    <row r="1820" spans="1:11" ht="12" customHeight="1">
      <c r="A1820" s="219" t="str" cm="1">
        <f t="array" ref="A1820">IFERROR(INDEX('03.Muestra'!$B$8:$B$42,SMALL(IF("Página Web"='03.Muestra'!$D$8:$D$42,ROW('03.Muestra'!$B$8:$B$42)-MIN(ROW('03.Muestra'!$D$8:$D$42))+1,""),ROW()-1804)),"")</f>
        <v/>
      </c>
      <c r="B1820" s="114" t="str" cm="1">
        <f t="array" ref="B1820">IFERROR(INDEX('03.Muestra'!$C$8:$C$42,SMALL(IF("Página Web"='03.Muestra'!$D$8:$D$42,ROW('03.Muestra'!$C$8:$C$42)-MIN(ROW('03.Muestra'!$D$8:$D$42))+1,""),ROW()-1804)),"")</f>
        <v/>
      </c>
      <c r="C1820" s="114" t="str" cm="1">
        <f t="array" ref="C1820">IFERROR(INDEX('03.Muestra'!$F$8:$F$42,SMALL(IF("Página Web"='03.Muestra'!$D$8:$D$42,ROW('03.Muestra'!$F$8:$F$42)-MIN(ROW('03.Muestra'!$D$8:$D$42))+1,""),ROW()-1804)),"")</f>
        <v/>
      </c>
      <c r="D1820" s="130" t="str">
        <f t="shared" si="95"/>
        <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si="95"/>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http://www.madrid.org/presupuestos</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Menu 1</v>
      </c>
      <c r="C1844" s="114" t="str" cm="1">
        <f t="array" ref="C1844">IFERROR(INDEX('03.Muestra'!$F$8:$F$42,SMALL(IF("Página Web"='03.Muestra'!$D$8:$D$42,ROW('03.Muestra'!$F$8:$F$42)-MIN(ROW('03.Muestra'!$D$8:$D$42))+1,""),ROW()-1842)),"")</f>
        <v>http://www.madrid.org/presupuestos/index.php/presupuestos-generales/presupuestos-cm/2022</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5</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Menu 2</v>
      </c>
      <c r="C1845" s="114" t="str" cm="1">
        <f t="array" ref="C1845">IFERROR(INDEX('03.Muestra'!$F$8:$F$42,SMALL(IF("Página Web"='03.Muestra'!$D$8:$D$42,ROW('03.Muestra'!$F$8:$F$42)-MIN(ROW('03.Muestra'!$D$8:$D$42))+1,""),ROW()-1842)),"")</f>
        <v>http://www.madrid.org/presupuestos/index.php/ejecucion-presupuestaria</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Menu 3</v>
      </c>
      <c r="C1846" s="114" t="str" cm="1">
        <f t="array" ref="C1846">IFERROR(INDEX('03.Muestra'!$F$8:$F$42,SMALL(IF("Página Web"='03.Muestra'!$D$8:$D$42,ROW('03.Muestra'!$F$8:$F$42)-MIN(ROW('03.Muestra'!$D$8:$D$42))+1,""),ROW()-1842)),"")</f>
        <v>http://www.madrid.org/presupuestos/index.php/transparencia</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Accesibilidad</v>
      </c>
      <c r="C1847" s="114" t="str" cm="1">
        <f t="array" ref="C1847">IFERROR(INDEX('03.Muestra'!$F$8:$F$42,SMALL(IF("Página Web"='03.Muestra'!$D$8:$D$42,ROW('03.Muestra'!$F$8:$F$42)-MIN(ROW('03.Muestra'!$D$8:$D$42))+1,""),ROW()-1842)),"")</f>
        <v>http://www.madrid.org/presupuestos/index.php/accesibilidad-web</v>
      </c>
      <c r="D1847" s="130" t="s">
        <v>35</v>
      </c>
      <c r="E1847" s="107" t="str">
        <f t="shared" si="96"/>
        <v/>
      </c>
      <c r="G1847" s="19"/>
      <c r="H1847" s="19"/>
      <c r="I1847" s="19"/>
      <c r="J1847" s="19"/>
      <c r="K1847" s="233"/>
    </row>
    <row r="1848" spans="1:11" ht="12" customHeight="1">
      <c r="A1848" s="219" t="str" cm="1">
        <f t="array" ref="A1848">IFERROR(INDEX('03.Muestra'!$B$8:$B$42,SMALL(IF("Página Web"='03.Muestra'!$D$8:$D$42,ROW('03.Muestra'!$B$8:$B$42)-MIN(ROW('03.Muestra'!$D$8:$D$42))+1,""),ROW()-1842)),"")</f>
        <v/>
      </c>
      <c r="B1848" s="114" t="str" cm="1">
        <f t="array" ref="B1848">IFERROR(INDEX('03.Muestra'!$C$8:$C$42,SMALL(IF("Página Web"='03.Muestra'!$D$8:$D$42,ROW('03.Muestra'!$C$8:$C$42)-MIN(ROW('03.Muestra'!$D$8:$D$42))+1,""),ROW()-1842)),"")</f>
        <v/>
      </c>
      <c r="C1848" s="114" t="str" cm="1">
        <f t="array" ref="C1848">IFERROR(INDEX('03.Muestra'!$F$8:$F$42,SMALL(IF("Página Web"='03.Muestra'!$D$8:$D$42,ROW('03.Muestra'!$F$8:$F$42)-MIN(ROW('03.Muestra'!$D$8:$D$42))+1,""),ROW()-1842)),"")</f>
        <v/>
      </c>
      <c r="D1848" s="130" t="str">
        <f t="shared" ref="D1848:D1877" si="97">IF(AND(B1848&lt;&gt;"",C1848&lt;&gt;""),"N/T","")</f>
        <v/>
      </c>
      <c r="E1848" s="107" t="str">
        <f t="shared" si="96"/>
        <v/>
      </c>
      <c r="G1848" s="19"/>
      <c r="H1848" s="19"/>
      <c r="I1848" s="19"/>
      <c r="J1848" s="19"/>
      <c r="K1848" s="233"/>
    </row>
    <row r="1849" spans="1:11" ht="12" customHeight="1">
      <c r="A1849" s="219" t="str" cm="1">
        <f t="array" ref="A1849">IFERROR(INDEX('03.Muestra'!$B$8:$B$42,SMALL(IF("Página Web"='03.Muestra'!$D$8:$D$42,ROW('03.Muestra'!$B$8:$B$42)-MIN(ROW('03.Muestra'!$D$8:$D$42))+1,""),ROW()-1842)),"")</f>
        <v/>
      </c>
      <c r="B1849" s="114" t="str" cm="1">
        <f t="array" ref="B1849">IFERROR(INDEX('03.Muestra'!$C$8:$C$42,SMALL(IF("Página Web"='03.Muestra'!$D$8:$D$42,ROW('03.Muestra'!$C$8:$C$42)-MIN(ROW('03.Muestra'!$D$8:$D$42))+1,""),ROW()-1842)),"")</f>
        <v/>
      </c>
      <c r="C1849" s="114" t="str" cm="1">
        <f t="array" ref="C1849">IFERROR(INDEX('03.Muestra'!$F$8:$F$42,SMALL(IF("Página Web"='03.Muestra'!$D$8:$D$42,ROW('03.Muestra'!$F$8:$F$42)-MIN(ROW('03.Muestra'!$D$8:$D$42))+1,""),ROW()-1842)),"")</f>
        <v/>
      </c>
      <c r="D1849" s="130" t="str">
        <f t="shared" si="97"/>
        <v/>
      </c>
      <c r="E1849" s="107" t="str">
        <f t="shared" si="96"/>
        <v/>
      </c>
      <c r="F1849" s="19"/>
      <c r="G1849" s="19"/>
      <c r="H1849" s="19"/>
      <c r="I1849" s="19"/>
      <c r="J1849" s="19"/>
      <c r="K1849" s="233"/>
    </row>
    <row r="1850" spans="1:11" ht="12" customHeight="1">
      <c r="A1850" s="219" t="str" cm="1">
        <f t="array" ref="A1850">IFERROR(INDEX('03.Muestra'!$B$8:$B$42,SMALL(IF("Página Web"='03.Muestra'!$D$8:$D$42,ROW('03.Muestra'!$B$8:$B$42)-MIN(ROW('03.Muestra'!$D$8:$D$42))+1,""),ROW()-1842)),"")</f>
        <v/>
      </c>
      <c r="B1850" s="114" t="str" cm="1">
        <f t="array" ref="B1850">IFERROR(INDEX('03.Muestra'!$C$8:$C$42,SMALL(IF("Página Web"='03.Muestra'!$D$8:$D$42,ROW('03.Muestra'!$C$8:$C$42)-MIN(ROW('03.Muestra'!$D$8:$D$42))+1,""),ROW()-1842)),"")</f>
        <v/>
      </c>
      <c r="C1850" s="114" t="str" cm="1">
        <f t="array" ref="C1850">IFERROR(INDEX('03.Muestra'!$F$8:$F$42,SMALL(IF("Página Web"='03.Muestra'!$D$8:$D$42,ROW('03.Muestra'!$F$8:$F$42)-MIN(ROW('03.Muestra'!$D$8:$D$42))+1,""),ROW()-1842)),"")</f>
        <v/>
      </c>
      <c r="D1850" s="130" t="str">
        <f t="shared" si="97"/>
        <v/>
      </c>
      <c r="E1850" s="107" t="str">
        <f t="shared" si="96"/>
        <v/>
      </c>
      <c r="F1850" s="19"/>
      <c r="G1850" s="19"/>
      <c r="H1850" s="19"/>
      <c r="I1850" s="19"/>
      <c r="J1850" s="19"/>
      <c r="K1850" s="233"/>
    </row>
    <row r="1851" spans="1:11" ht="12" customHeight="1">
      <c r="A1851" s="219" t="str" cm="1">
        <f t="array" ref="A1851">IFERROR(INDEX('03.Muestra'!$B$8:$B$42,SMALL(IF("Página Web"='03.Muestra'!$D$8:$D$42,ROW('03.Muestra'!$B$8:$B$42)-MIN(ROW('03.Muestra'!$D$8:$D$42))+1,""),ROW()-1842)),"")</f>
        <v/>
      </c>
      <c r="B1851" s="114" t="str" cm="1">
        <f t="array" ref="B1851">IFERROR(INDEX('03.Muestra'!$C$8:$C$42,SMALL(IF("Página Web"='03.Muestra'!$D$8:$D$42,ROW('03.Muestra'!$C$8:$C$42)-MIN(ROW('03.Muestra'!$D$8:$D$42))+1,""),ROW()-1842)),"")</f>
        <v/>
      </c>
      <c r="C1851" s="114" t="str" cm="1">
        <f t="array" ref="C1851">IFERROR(INDEX('03.Muestra'!$F$8:$F$42,SMALL(IF("Página Web"='03.Muestra'!$D$8:$D$42,ROW('03.Muestra'!$F$8:$F$42)-MIN(ROW('03.Muestra'!$D$8:$D$42))+1,""),ROW()-1842)),"")</f>
        <v/>
      </c>
      <c r="D1851" s="130" t="str">
        <f t="shared" si="97"/>
        <v/>
      </c>
      <c r="E1851" s="107" t="str">
        <f t="shared" si="96"/>
        <v/>
      </c>
      <c r="F1851" s="19"/>
      <c r="G1851" s="19"/>
      <c r="H1851" s="19"/>
      <c r="I1851" s="19"/>
      <c r="J1851" s="19"/>
      <c r="K1851" s="233"/>
    </row>
    <row r="1852" spans="1:11" ht="12" customHeight="1">
      <c r="A1852" s="219" t="str" cm="1">
        <f t="array" ref="A1852">IFERROR(INDEX('03.Muestra'!$B$8:$B$42,SMALL(IF("Página Web"='03.Muestra'!$D$8:$D$42,ROW('03.Muestra'!$B$8:$B$42)-MIN(ROW('03.Muestra'!$D$8:$D$42))+1,""),ROW()-1842)),"")</f>
        <v/>
      </c>
      <c r="B1852" s="114" t="str" cm="1">
        <f t="array" ref="B1852">IFERROR(INDEX('03.Muestra'!$C$8:$C$42,SMALL(IF("Página Web"='03.Muestra'!$D$8:$D$42,ROW('03.Muestra'!$C$8:$C$42)-MIN(ROW('03.Muestra'!$D$8:$D$42))+1,""),ROW()-1842)),"")</f>
        <v/>
      </c>
      <c r="C1852" s="114" t="str" cm="1">
        <f t="array" ref="C1852">IFERROR(INDEX('03.Muestra'!$F$8:$F$42,SMALL(IF("Página Web"='03.Muestra'!$D$8:$D$42,ROW('03.Muestra'!$F$8:$F$42)-MIN(ROW('03.Muestra'!$D$8:$D$42))+1,""),ROW()-1842)),"")</f>
        <v/>
      </c>
      <c r="D1852" s="130" t="str">
        <f t="shared" si="97"/>
        <v/>
      </c>
      <c r="E1852" s="107" t="str">
        <f t="shared" si="96"/>
        <v/>
      </c>
      <c r="F1852" s="19"/>
      <c r="G1852" s="19"/>
      <c r="H1852" s="19"/>
      <c r="I1852" s="19"/>
      <c r="J1852" s="19"/>
      <c r="K1852" s="233"/>
    </row>
    <row r="1853" spans="1:11" ht="12" customHeight="1">
      <c r="A1853" s="219" t="str" cm="1">
        <f t="array" ref="A1853">IFERROR(INDEX('03.Muestra'!$B$8:$B$42,SMALL(IF("Página Web"='03.Muestra'!$D$8:$D$42,ROW('03.Muestra'!$B$8:$B$42)-MIN(ROW('03.Muestra'!$D$8:$D$42))+1,""),ROW()-1842)),"")</f>
        <v/>
      </c>
      <c r="B1853" s="114" t="str" cm="1">
        <f t="array" ref="B1853">IFERROR(INDEX('03.Muestra'!$C$8:$C$42,SMALL(IF("Página Web"='03.Muestra'!$D$8:$D$42,ROW('03.Muestra'!$C$8:$C$42)-MIN(ROW('03.Muestra'!$D$8:$D$42))+1,""),ROW()-1842)),"")</f>
        <v/>
      </c>
      <c r="C1853" s="114" t="str" cm="1">
        <f t="array" ref="C1853">IFERROR(INDEX('03.Muestra'!$F$8:$F$42,SMALL(IF("Página Web"='03.Muestra'!$D$8:$D$42,ROW('03.Muestra'!$F$8:$F$42)-MIN(ROW('03.Muestra'!$D$8:$D$42))+1,""),ROW()-1842)),"")</f>
        <v/>
      </c>
      <c r="D1853" s="130" t="str">
        <f t="shared" si="97"/>
        <v/>
      </c>
      <c r="E1853" s="107" t="str">
        <f t="shared" si="96"/>
        <v/>
      </c>
      <c r="F1853" s="19"/>
      <c r="G1853" s="19"/>
      <c r="H1853" s="19"/>
      <c r="I1853" s="19"/>
      <c r="J1853" s="19"/>
      <c r="K1853" s="233"/>
    </row>
    <row r="1854" spans="1:11" ht="12" customHeight="1">
      <c r="A1854" s="219" t="str" cm="1">
        <f t="array" ref="A1854">IFERROR(INDEX('03.Muestra'!$B$8:$B$42,SMALL(IF("Página Web"='03.Muestra'!$D$8:$D$42,ROW('03.Muestra'!$B$8:$B$42)-MIN(ROW('03.Muestra'!$D$8:$D$42))+1,""),ROW()-1842)),"")</f>
        <v/>
      </c>
      <c r="B1854" s="114" t="str" cm="1">
        <f t="array" ref="B1854">IFERROR(INDEX('03.Muestra'!$C$8:$C$42,SMALL(IF("Página Web"='03.Muestra'!$D$8:$D$42,ROW('03.Muestra'!$C$8:$C$42)-MIN(ROW('03.Muestra'!$D$8:$D$42))+1,""),ROW()-1842)),"")</f>
        <v/>
      </c>
      <c r="C1854" s="114" t="str" cm="1">
        <f t="array" ref="C1854">IFERROR(INDEX('03.Muestra'!$F$8:$F$42,SMALL(IF("Página Web"='03.Muestra'!$D$8:$D$42,ROW('03.Muestra'!$F$8:$F$42)-MIN(ROW('03.Muestra'!$D$8:$D$42))+1,""),ROW()-1842)),"")</f>
        <v/>
      </c>
      <c r="D1854" s="130" t="str">
        <f t="shared" si="97"/>
        <v/>
      </c>
      <c r="E1854" s="107" t="str">
        <f t="shared" si="96"/>
        <v/>
      </c>
      <c r="F1854" s="19"/>
      <c r="G1854" s="19"/>
      <c r="H1854" s="19"/>
      <c r="I1854" s="19"/>
      <c r="J1854" s="19"/>
      <c r="K1854" s="233"/>
    </row>
    <row r="1855" spans="1:11" ht="12" customHeight="1">
      <c r="A1855" s="219" t="str" cm="1">
        <f t="array" ref="A1855">IFERROR(INDEX('03.Muestra'!$B$8:$B$42,SMALL(IF("Página Web"='03.Muestra'!$D$8:$D$42,ROW('03.Muestra'!$B$8:$B$42)-MIN(ROW('03.Muestra'!$D$8:$D$42))+1,""),ROW()-1842)),"")</f>
        <v/>
      </c>
      <c r="B1855" s="114" t="str" cm="1">
        <f t="array" ref="B1855">IFERROR(INDEX('03.Muestra'!$C$8:$C$42,SMALL(IF("Página Web"='03.Muestra'!$D$8:$D$42,ROW('03.Muestra'!$C$8:$C$42)-MIN(ROW('03.Muestra'!$D$8:$D$42))+1,""),ROW()-1842)),"")</f>
        <v/>
      </c>
      <c r="C1855" s="114" t="str" cm="1">
        <f t="array" ref="C1855">IFERROR(INDEX('03.Muestra'!$F$8:$F$42,SMALL(IF("Página Web"='03.Muestra'!$D$8:$D$42,ROW('03.Muestra'!$F$8:$F$42)-MIN(ROW('03.Muestra'!$D$8:$D$42))+1,""),ROW()-1842)),"")</f>
        <v/>
      </c>
      <c r="D1855" s="130" t="str">
        <f t="shared" si="97"/>
        <v/>
      </c>
      <c r="E1855" s="107" t="str">
        <f t="shared" si="96"/>
        <v/>
      </c>
      <c r="F1855" s="19"/>
      <c r="G1855" s="19"/>
      <c r="H1855" s="19"/>
      <c r="I1855" s="19"/>
      <c r="J1855" s="19"/>
      <c r="K1855" s="233"/>
    </row>
    <row r="1856" spans="1:11" ht="12" customHeight="1">
      <c r="A1856" s="219" t="str" cm="1">
        <f t="array" ref="A1856">IFERROR(INDEX('03.Muestra'!$B$8:$B$42,SMALL(IF("Página Web"='03.Muestra'!$D$8:$D$42,ROW('03.Muestra'!$B$8:$B$42)-MIN(ROW('03.Muestra'!$D$8:$D$42))+1,""),ROW()-1842)),"")</f>
        <v/>
      </c>
      <c r="B1856" s="114" t="str" cm="1">
        <f t="array" ref="B1856">IFERROR(INDEX('03.Muestra'!$C$8:$C$42,SMALL(IF("Página Web"='03.Muestra'!$D$8:$D$42,ROW('03.Muestra'!$C$8:$C$42)-MIN(ROW('03.Muestra'!$D$8:$D$42))+1,""),ROW()-1842)),"")</f>
        <v/>
      </c>
      <c r="C1856" s="114" t="str" cm="1">
        <f t="array" ref="C1856">IFERROR(INDEX('03.Muestra'!$F$8:$F$42,SMALL(IF("Página Web"='03.Muestra'!$D$8:$D$42,ROW('03.Muestra'!$F$8:$F$42)-MIN(ROW('03.Muestra'!$D$8:$D$42))+1,""),ROW()-1842)),"")</f>
        <v/>
      </c>
      <c r="D1856" s="130" t="str">
        <f t="shared" si="97"/>
        <v/>
      </c>
      <c r="E1856" s="107" t="str">
        <f t="shared" si="96"/>
        <v/>
      </c>
      <c r="F1856" s="19"/>
      <c r="G1856" s="19"/>
      <c r="H1856" s="19"/>
      <c r="I1856" s="19"/>
      <c r="J1856" s="19"/>
      <c r="K1856" s="233"/>
    </row>
    <row r="1857" spans="1:11" ht="12" customHeight="1">
      <c r="A1857" s="219" t="str" cm="1">
        <f t="array" ref="A1857">IFERROR(INDEX('03.Muestra'!$B$8:$B$42,SMALL(IF("Página Web"='03.Muestra'!$D$8:$D$42,ROW('03.Muestra'!$B$8:$B$42)-MIN(ROW('03.Muestra'!$D$8:$D$42))+1,""),ROW()-1842)),"")</f>
        <v/>
      </c>
      <c r="B1857" s="114" t="str" cm="1">
        <f t="array" ref="B1857">IFERROR(INDEX('03.Muestra'!$C$8:$C$42,SMALL(IF("Página Web"='03.Muestra'!$D$8:$D$42,ROW('03.Muestra'!$C$8:$C$42)-MIN(ROW('03.Muestra'!$D$8:$D$42))+1,""),ROW()-1842)),"")</f>
        <v/>
      </c>
      <c r="C1857" s="114" t="str" cm="1">
        <f t="array" ref="C1857">IFERROR(INDEX('03.Muestra'!$F$8:$F$42,SMALL(IF("Página Web"='03.Muestra'!$D$8:$D$42,ROW('03.Muestra'!$F$8:$F$42)-MIN(ROW('03.Muestra'!$D$8:$D$42))+1,""),ROW()-1842)),"")</f>
        <v/>
      </c>
      <c r="D1857" s="130" t="str">
        <f t="shared" si="97"/>
        <v/>
      </c>
      <c r="E1857" s="107" t="str">
        <f t="shared" si="96"/>
        <v/>
      </c>
      <c r="F1857" s="19"/>
      <c r="G1857" s="19"/>
      <c r="H1857" s="19"/>
      <c r="I1857" s="19"/>
      <c r="J1857" s="19"/>
      <c r="K1857" s="233"/>
    </row>
    <row r="1858" spans="1:11" ht="12" customHeight="1">
      <c r="A1858" s="219" t="str" cm="1">
        <f t="array" ref="A1858">IFERROR(INDEX('03.Muestra'!$B$8:$B$42,SMALL(IF("Página Web"='03.Muestra'!$D$8:$D$42,ROW('03.Muestra'!$B$8:$B$42)-MIN(ROW('03.Muestra'!$D$8:$D$42))+1,""),ROW()-1842)),"")</f>
        <v/>
      </c>
      <c r="B1858" s="114" t="str" cm="1">
        <f t="array" ref="B1858">IFERROR(INDEX('03.Muestra'!$C$8:$C$42,SMALL(IF("Página Web"='03.Muestra'!$D$8:$D$42,ROW('03.Muestra'!$C$8:$C$42)-MIN(ROW('03.Muestra'!$D$8:$D$42))+1,""),ROW()-1842)),"")</f>
        <v/>
      </c>
      <c r="C1858" s="114" t="str" cm="1">
        <f t="array" ref="C1858">IFERROR(INDEX('03.Muestra'!$F$8:$F$42,SMALL(IF("Página Web"='03.Muestra'!$D$8:$D$42,ROW('03.Muestra'!$F$8:$F$42)-MIN(ROW('03.Muestra'!$D$8:$D$42))+1,""),ROW()-1842)),"")</f>
        <v/>
      </c>
      <c r="D1858" s="130" t="str">
        <f t="shared" si="97"/>
        <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si="97"/>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http://www.madrid.org/presupuestos</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Menu 1</v>
      </c>
      <c r="C1882" s="114" t="str" cm="1">
        <f t="array" ref="C1882">IFERROR(INDEX('03.Muestra'!$F$8:$F$42,SMALL(IF("Página Web"='03.Muestra'!$D$8:$D$42,ROW('03.Muestra'!$F$8:$F$42)-MIN(ROW('03.Muestra'!$D$8:$D$42))+1,""),ROW()-1880)),"")</f>
        <v>http://www.madrid.org/presupuestos/index.php/presupuestos-generales/presupuestos-cm/2022</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5</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Menu 2</v>
      </c>
      <c r="C1883" s="114" t="str" cm="1">
        <f t="array" ref="C1883">IFERROR(INDEX('03.Muestra'!$F$8:$F$42,SMALL(IF("Página Web"='03.Muestra'!$D$8:$D$42,ROW('03.Muestra'!$F$8:$F$42)-MIN(ROW('03.Muestra'!$D$8:$D$42))+1,""),ROW()-1880)),"")</f>
        <v>http://www.madrid.org/presupuestos/index.php/ejecucion-presupuestaria</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Menu 3</v>
      </c>
      <c r="C1884" s="114" t="str" cm="1">
        <f t="array" ref="C1884">IFERROR(INDEX('03.Muestra'!$F$8:$F$42,SMALL(IF("Página Web"='03.Muestra'!$D$8:$D$42,ROW('03.Muestra'!$F$8:$F$42)-MIN(ROW('03.Muestra'!$D$8:$D$42))+1,""),ROW()-1880)),"")</f>
        <v>http://www.madrid.org/presupuestos/index.php/transparencia</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Accesibilidad</v>
      </c>
      <c r="C1885" s="114" t="str" cm="1">
        <f t="array" ref="C1885">IFERROR(INDEX('03.Muestra'!$F$8:$F$42,SMALL(IF("Página Web"='03.Muestra'!$D$8:$D$42,ROW('03.Muestra'!$F$8:$F$42)-MIN(ROW('03.Muestra'!$D$8:$D$42))+1,""),ROW()-1880)),"")</f>
        <v>http://www.madrid.org/presupuestos/index.php/accesibilidad-web</v>
      </c>
      <c r="D1885" s="130" t="s">
        <v>28</v>
      </c>
      <c r="E1885" s="107" t="str">
        <f t="shared" si="98"/>
        <v/>
      </c>
      <c r="G1885" s="19"/>
      <c r="H1885" s="19"/>
      <c r="I1885" s="19"/>
      <c r="J1885" s="19"/>
      <c r="K1885" s="233"/>
    </row>
    <row r="1886" spans="1:11" ht="12" customHeight="1">
      <c r="A1886" s="219" t="str" cm="1">
        <f t="array" ref="A1886">IFERROR(INDEX('03.Muestra'!$B$8:$B$42,SMALL(IF("Página Web"='03.Muestra'!$D$8:$D$42,ROW('03.Muestra'!$B$8:$B$42)-MIN(ROW('03.Muestra'!$D$8:$D$42))+1,""),ROW()-1880)),"")</f>
        <v/>
      </c>
      <c r="B1886" s="114" t="str" cm="1">
        <f t="array" ref="B1886">IFERROR(INDEX('03.Muestra'!$C$8:$C$42,SMALL(IF("Página Web"='03.Muestra'!$D$8:$D$42,ROW('03.Muestra'!$C$8:$C$42)-MIN(ROW('03.Muestra'!$D$8:$D$42))+1,""),ROW()-1880)),"")</f>
        <v/>
      </c>
      <c r="C1886" s="114" t="str" cm="1">
        <f t="array" ref="C1886">IFERROR(INDEX('03.Muestra'!$F$8:$F$42,SMALL(IF("Página Web"='03.Muestra'!$D$8:$D$42,ROW('03.Muestra'!$F$8:$F$42)-MIN(ROW('03.Muestra'!$D$8:$D$42))+1,""),ROW()-1880)),"")</f>
        <v/>
      </c>
      <c r="D1886" s="130" t="str">
        <f t="shared" ref="D1886:D1915" si="99">IF(AND(B1886&lt;&gt;"",C1886&lt;&gt;""),"N/T","")</f>
        <v/>
      </c>
      <c r="E1886" s="107" t="str">
        <f t="shared" si="98"/>
        <v/>
      </c>
      <c r="G1886" s="19"/>
      <c r="H1886" s="19"/>
      <c r="I1886" s="19"/>
      <c r="J1886" s="19"/>
      <c r="K1886" s="233"/>
    </row>
    <row r="1887" spans="1:11" ht="12" customHeight="1">
      <c r="A1887" s="219" t="str" cm="1">
        <f t="array" ref="A1887">IFERROR(INDEX('03.Muestra'!$B$8:$B$42,SMALL(IF("Página Web"='03.Muestra'!$D$8:$D$42,ROW('03.Muestra'!$B$8:$B$42)-MIN(ROW('03.Muestra'!$D$8:$D$42))+1,""),ROW()-1880)),"")</f>
        <v/>
      </c>
      <c r="B1887" s="114" t="str" cm="1">
        <f t="array" ref="B1887">IFERROR(INDEX('03.Muestra'!$C$8:$C$42,SMALL(IF("Página Web"='03.Muestra'!$D$8:$D$42,ROW('03.Muestra'!$C$8:$C$42)-MIN(ROW('03.Muestra'!$D$8:$D$42))+1,""),ROW()-1880)),"")</f>
        <v/>
      </c>
      <c r="C1887" s="114" t="str" cm="1">
        <f t="array" ref="C1887">IFERROR(INDEX('03.Muestra'!$F$8:$F$42,SMALL(IF("Página Web"='03.Muestra'!$D$8:$D$42,ROW('03.Muestra'!$F$8:$F$42)-MIN(ROW('03.Muestra'!$D$8:$D$42))+1,""),ROW()-1880)),"")</f>
        <v/>
      </c>
      <c r="D1887" s="130" t="str">
        <f t="shared" si="99"/>
        <v/>
      </c>
      <c r="E1887" s="107" t="str">
        <f t="shared" si="98"/>
        <v/>
      </c>
      <c r="F1887" s="19"/>
      <c r="G1887" s="19"/>
      <c r="H1887" s="19"/>
      <c r="I1887" s="19"/>
      <c r="J1887" s="19"/>
      <c r="K1887" s="233"/>
    </row>
    <row r="1888" spans="1:11" ht="12" customHeight="1">
      <c r="A1888" s="219" t="str" cm="1">
        <f t="array" ref="A1888">IFERROR(INDEX('03.Muestra'!$B$8:$B$42,SMALL(IF("Página Web"='03.Muestra'!$D$8:$D$42,ROW('03.Muestra'!$B$8:$B$42)-MIN(ROW('03.Muestra'!$D$8:$D$42))+1,""),ROW()-1880)),"")</f>
        <v/>
      </c>
      <c r="B1888" s="114" t="str" cm="1">
        <f t="array" ref="B1888">IFERROR(INDEX('03.Muestra'!$C$8:$C$42,SMALL(IF("Página Web"='03.Muestra'!$D$8:$D$42,ROW('03.Muestra'!$C$8:$C$42)-MIN(ROW('03.Muestra'!$D$8:$D$42))+1,""),ROW()-1880)),"")</f>
        <v/>
      </c>
      <c r="C1888" s="114" t="str" cm="1">
        <f t="array" ref="C1888">IFERROR(INDEX('03.Muestra'!$F$8:$F$42,SMALL(IF("Página Web"='03.Muestra'!$D$8:$D$42,ROW('03.Muestra'!$F$8:$F$42)-MIN(ROW('03.Muestra'!$D$8:$D$42))+1,""),ROW()-1880)),"")</f>
        <v/>
      </c>
      <c r="D1888" s="130" t="str">
        <f t="shared" si="99"/>
        <v/>
      </c>
      <c r="E1888" s="107" t="str">
        <f t="shared" si="98"/>
        <v/>
      </c>
      <c r="F1888" s="19"/>
      <c r="G1888" s="19"/>
      <c r="H1888" s="19"/>
      <c r="I1888" s="19"/>
      <c r="J1888" s="19"/>
      <c r="K1888" s="233"/>
    </row>
    <row r="1889" spans="1:11" ht="12" customHeight="1">
      <c r="A1889" s="219" t="str" cm="1">
        <f t="array" ref="A1889">IFERROR(INDEX('03.Muestra'!$B$8:$B$42,SMALL(IF("Página Web"='03.Muestra'!$D$8:$D$42,ROW('03.Muestra'!$B$8:$B$42)-MIN(ROW('03.Muestra'!$D$8:$D$42))+1,""),ROW()-1880)),"")</f>
        <v/>
      </c>
      <c r="B1889" s="114" t="str" cm="1">
        <f t="array" ref="B1889">IFERROR(INDEX('03.Muestra'!$C$8:$C$42,SMALL(IF("Página Web"='03.Muestra'!$D$8:$D$42,ROW('03.Muestra'!$C$8:$C$42)-MIN(ROW('03.Muestra'!$D$8:$D$42))+1,""),ROW()-1880)),"")</f>
        <v/>
      </c>
      <c r="C1889" s="114" t="str" cm="1">
        <f t="array" ref="C1889">IFERROR(INDEX('03.Muestra'!$F$8:$F$42,SMALL(IF("Página Web"='03.Muestra'!$D$8:$D$42,ROW('03.Muestra'!$F$8:$F$42)-MIN(ROW('03.Muestra'!$D$8:$D$42))+1,""),ROW()-1880)),"")</f>
        <v/>
      </c>
      <c r="D1889" s="130" t="str">
        <f t="shared" si="99"/>
        <v/>
      </c>
      <c r="E1889" s="107" t="str">
        <f t="shared" si="98"/>
        <v/>
      </c>
      <c r="F1889" s="19"/>
      <c r="G1889" s="19"/>
      <c r="H1889" s="19"/>
      <c r="I1889" s="19"/>
      <c r="J1889" s="19"/>
      <c r="K1889" s="233"/>
    </row>
    <row r="1890" spans="1:11" ht="12" customHeight="1">
      <c r="A1890" s="219" t="str" cm="1">
        <f t="array" ref="A1890">IFERROR(INDEX('03.Muestra'!$B$8:$B$42,SMALL(IF("Página Web"='03.Muestra'!$D$8:$D$42,ROW('03.Muestra'!$B$8:$B$42)-MIN(ROW('03.Muestra'!$D$8:$D$42))+1,""),ROW()-1880)),"")</f>
        <v/>
      </c>
      <c r="B1890" s="114" t="str" cm="1">
        <f t="array" ref="B1890">IFERROR(INDEX('03.Muestra'!$C$8:$C$42,SMALL(IF("Página Web"='03.Muestra'!$D$8:$D$42,ROW('03.Muestra'!$C$8:$C$42)-MIN(ROW('03.Muestra'!$D$8:$D$42))+1,""),ROW()-1880)),"")</f>
        <v/>
      </c>
      <c r="C1890" s="114" t="str" cm="1">
        <f t="array" ref="C1890">IFERROR(INDEX('03.Muestra'!$F$8:$F$42,SMALL(IF("Página Web"='03.Muestra'!$D$8:$D$42,ROW('03.Muestra'!$F$8:$F$42)-MIN(ROW('03.Muestra'!$D$8:$D$42))+1,""),ROW()-1880)),"")</f>
        <v/>
      </c>
      <c r="D1890" s="130" t="str">
        <f t="shared" si="99"/>
        <v/>
      </c>
      <c r="E1890" s="107" t="str">
        <f t="shared" si="98"/>
        <v/>
      </c>
      <c r="F1890" s="19"/>
      <c r="G1890" s="19"/>
      <c r="H1890" s="19"/>
      <c r="I1890" s="19"/>
      <c r="J1890" s="19"/>
      <c r="K1890" s="233"/>
    </row>
    <row r="1891" spans="1:11" ht="12" customHeight="1">
      <c r="A1891" s="219" t="str" cm="1">
        <f t="array" ref="A1891">IFERROR(INDEX('03.Muestra'!$B$8:$B$42,SMALL(IF("Página Web"='03.Muestra'!$D$8:$D$42,ROW('03.Muestra'!$B$8:$B$42)-MIN(ROW('03.Muestra'!$D$8:$D$42))+1,""),ROW()-1880)),"")</f>
        <v/>
      </c>
      <c r="B1891" s="114" t="str" cm="1">
        <f t="array" ref="B1891">IFERROR(INDEX('03.Muestra'!$C$8:$C$42,SMALL(IF("Página Web"='03.Muestra'!$D$8:$D$42,ROW('03.Muestra'!$C$8:$C$42)-MIN(ROW('03.Muestra'!$D$8:$D$42))+1,""),ROW()-1880)),"")</f>
        <v/>
      </c>
      <c r="C1891" s="114" t="str" cm="1">
        <f t="array" ref="C1891">IFERROR(INDEX('03.Muestra'!$F$8:$F$42,SMALL(IF("Página Web"='03.Muestra'!$D$8:$D$42,ROW('03.Muestra'!$F$8:$F$42)-MIN(ROW('03.Muestra'!$D$8:$D$42))+1,""),ROW()-1880)),"")</f>
        <v/>
      </c>
      <c r="D1891" s="130" t="str">
        <f t="shared" si="99"/>
        <v/>
      </c>
      <c r="E1891" s="107" t="str">
        <f t="shared" si="98"/>
        <v/>
      </c>
      <c r="F1891" s="19"/>
      <c r="G1891" s="19"/>
      <c r="H1891" s="19"/>
      <c r="I1891" s="19"/>
      <c r="J1891" s="19"/>
      <c r="K1891" s="233"/>
    </row>
    <row r="1892" spans="1:11" ht="12" customHeight="1">
      <c r="A1892" s="219" t="str" cm="1">
        <f t="array" ref="A1892">IFERROR(INDEX('03.Muestra'!$B$8:$B$42,SMALL(IF("Página Web"='03.Muestra'!$D$8:$D$42,ROW('03.Muestra'!$B$8:$B$42)-MIN(ROW('03.Muestra'!$D$8:$D$42))+1,""),ROW()-1880)),"")</f>
        <v/>
      </c>
      <c r="B1892" s="114" t="str" cm="1">
        <f t="array" ref="B1892">IFERROR(INDEX('03.Muestra'!$C$8:$C$42,SMALL(IF("Página Web"='03.Muestra'!$D$8:$D$42,ROW('03.Muestra'!$C$8:$C$42)-MIN(ROW('03.Muestra'!$D$8:$D$42))+1,""),ROW()-1880)),"")</f>
        <v/>
      </c>
      <c r="C1892" s="114" t="str" cm="1">
        <f t="array" ref="C1892">IFERROR(INDEX('03.Muestra'!$F$8:$F$42,SMALL(IF("Página Web"='03.Muestra'!$D$8:$D$42,ROW('03.Muestra'!$F$8:$F$42)-MIN(ROW('03.Muestra'!$D$8:$D$42))+1,""),ROW()-1880)),"")</f>
        <v/>
      </c>
      <c r="D1892" s="130" t="str">
        <f t="shared" si="99"/>
        <v/>
      </c>
      <c r="E1892" s="107" t="str">
        <f t="shared" si="98"/>
        <v/>
      </c>
      <c r="F1892" s="19"/>
      <c r="G1892" s="19"/>
      <c r="H1892" s="19"/>
      <c r="I1892" s="19"/>
      <c r="J1892" s="19"/>
      <c r="K1892" s="233"/>
    </row>
    <row r="1893" spans="1:11" ht="12" customHeight="1">
      <c r="A1893" s="219" t="str" cm="1">
        <f t="array" ref="A1893">IFERROR(INDEX('03.Muestra'!$B$8:$B$42,SMALL(IF("Página Web"='03.Muestra'!$D$8:$D$42,ROW('03.Muestra'!$B$8:$B$42)-MIN(ROW('03.Muestra'!$D$8:$D$42))+1,""),ROW()-1880)),"")</f>
        <v/>
      </c>
      <c r="B1893" s="114" t="str" cm="1">
        <f t="array" ref="B1893">IFERROR(INDEX('03.Muestra'!$C$8:$C$42,SMALL(IF("Página Web"='03.Muestra'!$D$8:$D$42,ROW('03.Muestra'!$C$8:$C$42)-MIN(ROW('03.Muestra'!$D$8:$D$42))+1,""),ROW()-1880)),"")</f>
        <v/>
      </c>
      <c r="C1893" s="114" t="str" cm="1">
        <f t="array" ref="C1893">IFERROR(INDEX('03.Muestra'!$F$8:$F$42,SMALL(IF("Página Web"='03.Muestra'!$D$8:$D$42,ROW('03.Muestra'!$F$8:$F$42)-MIN(ROW('03.Muestra'!$D$8:$D$42))+1,""),ROW()-1880)),"")</f>
        <v/>
      </c>
      <c r="D1893" s="130" t="str">
        <f t="shared" si="99"/>
        <v/>
      </c>
      <c r="E1893" s="107" t="str">
        <f t="shared" si="98"/>
        <v/>
      </c>
      <c r="F1893" s="19"/>
      <c r="G1893" s="19"/>
      <c r="H1893" s="19"/>
      <c r="I1893" s="19"/>
      <c r="J1893" s="19"/>
      <c r="K1893" s="233"/>
    </row>
    <row r="1894" spans="1:11" ht="12" customHeight="1">
      <c r="A1894" s="219" t="str" cm="1">
        <f t="array" ref="A1894">IFERROR(INDEX('03.Muestra'!$B$8:$B$42,SMALL(IF("Página Web"='03.Muestra'!$D$8:$D$42,ROW('03.Muestra'!$B$8:$B$42)-MIN(ROW('03.Muestra'!$D$8:$D$42))+1,""),ROW()-1880)),"")</f>
        <v/>
      </c>
      <c r="B1894" s="114" t="str" cm="1">
        <f t="array" ref="B1894">IFERROR(INDEX('03.Muestra'!$C$8:$C$42,SMALL(IF("Página Web"='03.Muestra'!$D$8:$D$42,ROW('03.Muestra'!$C$8:$C$42)-MIN(ROW('03.Muestra'!$D$8:$D$42))+1,""),ROW()-1880)),"")</f>
        <v/>
      </c>
      <c r="C1894" s="114" t="str" cm="1">
        <f t="array" ref="C1894">IFERROR(INDEX('03.Muestra'!$F$8:$F$42,SMALL(IF("Página Web"='03.Muestra'!$D$8:$D$42,ROW('03.Muestra'!$F$8:$F$42)-MIN(ROW('03.Muestra'!$D$8:$D$42))+1,""),ROW()-1880)),"")</f>
        <v/>
      </c>
      <c r="D1894" s="130" t="str">
        <f t="shared" si="99"/>
        <v/>
      </c>
      <c r="E1894" s="107" t="str">
        <f t="shared" si="98"/>
        <v/>
      </c>
      <c r="F1894" s="19"/>
      <c r="G1894" s="19"/>
      <c r="H1894" s="19"/>
      <c r="I1894" s="19"/>
      <c r="J1894" s="19"/>
      <c r="K1894" s="233"/>
    </row>
    <row r="1895" spans="1:11" ht="12" customHeight="1">
      <c r="A1895" s="219" t="str" cm="1">
        <f t="array" ref="A1895">IFERROR(INDEX('03.Muestra'!$B$8:$B$42,SMALL(IF("Página Web"='03.Muestra'!$D$8:$D$42,ROW('03.Muestra'!$B$8:$B$42)-MIN(ROW('03.Muestra'!$D$8:$D$42))+1,""),ROW()-1880)),"")</f>
        <v/>
      </c>
      <c r="B1895" s="114" t="str" cm="1">
        <f t="array" ref="B1895">IFERROR(INDEX('03.Muestra'!$C$8:$C$42,SMALL(IF("Página Web"='03.Muestra'!$D$8:$D$42,ROW('03.Muestra'!$C$8:$C$42)-MIN(ROW('03.Muestra'!$D$8:$D$42))+1,""),ROW()-1880)),"")</f>
        <v/>
      </c>
      <c r="C1895" s="114" t="str" cm="1">
        <f t="array" ref="C1895">IFERROR(INDEX('03.Muestra'!$F$8:$F$42,SMALL(IF("Página Web"='03.Muestra'!$D$8:$D$42,ROW('03.Muestra'!$F$8:$F$42)-MIN(ROW('03.Muestra'!$D$8:$D$42))+1,""),ROW()-1880)),"")</f>
        <v/>
      </c>
      <c r="D1895" s="130" t="str">
        <f t="shared" si="99"/>
        <v/>
      </c>
      <c r="E1895" s="107" t="str">
        <f t="shared" si="98"/>
        <v/>
      </c>
      <c r="F1895" s="19"/>
      <c r="G1895" s="19"/>
      <c r="H1895" s="19"/>
      <c r="I1895" s="19"/>
      <c r="J1895" s="19"/>
      <c r="K1895" s="233"/>
    </row>
    <row r="1896" spans="1:11" ht="12" customHeight="1">
      <c r="A1896" s="219" t="str" cm="1">
        <f t="array" ref="A1896">IFERROR(INDEX('03.Muestra'!$B$8:$B$42,SMALL(IF("Página Web"='03.Muestra'!$D$8:$D$42,ROW('03.Muestra'!$B$8:$B$42)-MIN(ROW('03.Muestra'!$D$8:$D$42))+1,""),ROW()-1880)),"")</f>
        <v/>
      </c>
      <c r="B1896" s="114" t="str" cm="1">
        <f t="array" ref="B1896">IFERROR(INDEX('03.Muestra'!$C$8:$C$42,SMALL(IF("Página Web"='03.Muestra'!$D$8:$D$42,ROW('03.Muestra'!$C$8:$C$42)-MIN(ROW('03.Muestra'!$D$8:$D$42))+1,""),ROW()-1880)),"")</f>
        <v/>
      </c>
      <c r="C1896" s="114" t="str" cm="1">
        <f t="array" ref="C1896">IFERROR(INDEX('03.Muestra'!$F$8:$F$42,SMALL(IF("Página Web"='03.Muestra'!$D$8:$D$42,ROW('03.Muestra'!$F$8:$F$42)-MIN(ROW('03.Muestra'!$D$8:$D$42))+1,""),ROW()-1880)),"")</f>
        <v/>
      </c>
      <c r="D1896" s="130" t="str">
        <f t="shared" si="99"/>
        <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si="99"/>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162" priority="894"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161" priority="888" stopIfTrue="1">
      <formula>ISBLANK(F19)</formula>
    </cfRule>
    <cfRule type="cellIs" dxfId="1160" priority="889" stopIfTrue="1" operator="equal">
      <formula>"Pasa"</formula>
    </cfRule>
    <cfRule type="cellIs" dxfId="1159" priority="890" stopIfTrue="1" operator="equal">
      <formula>"Falla"</formula>
    </cfRule>
    <cfRule type="cellIs" dxfId="1158" priority="891" stopIfTrue="1" operator="equal">
      <formula>"N/A"</formula>
    </cfRule>
    <cfRule type="cellIs" dxfId="1157" priority="892" stopIfTrue="1" operator="equal">
      <formula>"N/T"</formula>
    </cfRule>
    <cfRule type="cellIs" dxfId="1156" priority="893" stopIfTrue="1" operator="equal">
      <formula>"N/D"</formula>
    </cfRule>
  </conditionalFormatting>
  <conditionalFormatting sqref="E741:E775 E779:E813 E817:E851 E855:E889 E893:E927 E931:E965 E1045:E1079 E1083:E1117 E1159:E1193 E1197:E1231 E1235:E1269 E1273:E1307 E1311:E1345 E1349:E1383">
    <cfRule type="cellIs" dxfId="1155" priority="773" stopIfTrue="1" operator="equal">
      <formula>"ERR"</formula>
    </cfRule>
  </conditionalFormatting>
  <conditionalFormatting sqref="E1387:E1421 E1463:E1497 E1501:E1535 E1615:E1649 E1653:E1687 E1691:E1725 E1729:E1763">
    <cfRule type="cellIs" dxfId="1154" priority="682" operator="equal">
      <formula>"ERR"</formula>
    </cfRule>
  </conditionalFormatting>
  <conditionalFormatting sqref="E1767:E1801 E1805:E1839">
    <cfRule type="cellIs" dxfId="1153" priority="633" stopIfTrue="1" operator="equal">
      <formula>"ERR"</formula>
    </cfRule>
  </conditionalFormatting>
  <conditionalFormatting sqref="E969:E1003 E1007:E1042">
    <cfRule type="cellIs" dxfId="1152" priority="614" stopIfTrue="1" operator="equal">
      <formula>"ERR"</formula>
    </cfRule>
  </conditionalFormatting>
  <conditionalFormatting sqref="D1042">
    <cfRule type="expression" dxfId="1151" priority="608" stopIfTrue="1">
      <formula>ISBLANK(D1042)</formula>
    </cfRule>
    <cfRule type="cellIs" dxfId="1150" priority="609" stopIfTrue="1" operator="equal">
      <formula>"Pasa"</formula>
    </cfRule>
    <cfRule type="cellIs" dxfId="1149" priority="610" stopIfTrue="1" operator="equal">
      <formula>"Falla"</formula>
    </cfRule>
    <cfRule type="cellIs" dxfId="1148" priority="611" stopIfTrue="1" operator="equal">
      <formula>"N/A"</formula>
    </cfRule>
    <cfRule type="cellIs" dxfId="1147" priority="612" stopIfTrue="1" operator="equal">
      <formula>"N/T"</formula>
    </cfRule>
    <cfRule type="cellIs" dxfId="1146" priority="613" stopIfTrue="1" operator="equal">
      <formula>"N/D"</formula>
    </cfRule>
  </conditionalFormatting>
  <conditionalFormatting sqref="E1121:E1155">
    <cfRule type="cellIs" dxfId="1145" priority="595" stopIfTrue="1" operator="equal">
      <formula>"ERR"</formula>
    </cfRule>
  </conditionalFormatting>
  <conditionalFormatting sqref="E1425:E1459">
    <cfRule type="cellIs" dxfId="1144" priority="582" operator="equal">
      <formula>"ERR"</formula>
    </cfRule>
  </conditionalFormatting>
  <conditionalFormatting sqref="E1539:E1573 E1577:E1611">
    <cfRule type="cellIs" dxfId="1143" priority="569" operator="equal">
      <formula>"ERR"</formula>
    </cfRule>
  </conditionalFormatting>
  <conditionalFormatting sqref="E1843:E1877">
    <cfRule type="cellIs" dxfId="1142" priority="550" stopIfTrue="1" operator="equal">
      <formula>"ERR"</formula>
    </cfRule>
  </conditionalFormatting>
  <conditionalFormatting sqref="D19:D53">
    <cfRule type="expression" dxfId="1141" priority="532" stopIfTrue="1">
      <formula>ISBLANK(D19)</formula>
    </cfRule>
    <cfRule type="cellIs" dxfId="1140" priority="533" stopIfTrue="1" operator="equal">
      <formula>"Pasa"</formula>
    </cfRule>
    <cfRule type="cellIs" dxfId="1139" priority="534" stopIfTrue="1" operator="equal">
      <formula>"Falla"</formula>
    </cfRule>
    <cfRule type="cellIs" dxfId="1138" priority="535" stopIfTrue="1" operator="equal">
      <formula>"N/A"</formula>
    </cfRule>
    <cfRule type="cellIs" dxfId="1137" priority="536" stopIfTrue="1" operator="equal">
      <formula>"N/T"</formula>
    </cfRule>
    <cfRule type="cellIs" dxfId="1136" priority="537" stopIfTrue="1" operator="equal">
      <formula>"N/D"</formula>
    </cfRule>
  </conditionalFormatting>
  <conditionalFormatting sqref="D19:D53">
    <cfRule type="cellIs" dxfId="1135" priority="531" stopIfTrue="1" operator="equal">
      <formula>"-"</formula>
    </cfRule>
  </conditionalFormatting>
  <conditionalFormatting sqref="D57:D91">
    <cfRule type="expression" dxfId="1134" priority="525" stopIfTrue="1">
      <formula>ISBLANK(D57)</formula>
    </cfRule>
    <cfRule type="cellIs" dxfId="1133" priority="526" stopIfTrue="1" operator="equal">
      <formula>"Pasa"</formula>
    </cfRule>
    <cfRule type="cellIs" dxfId="1132" priority="527" stopIfTrue="1" operator="equal">
      <formula>"Falla"</formula>
    </cfRule>
    <cfRule type="cellIs" dxfId="1131" priority="528" stopIfTrue="1" operator="equal">
      <formula>"N/A"</formula>
    </cfRule>
    <cfRule type="cellIs" dxfId="1130" priority="529" stopIfTrue="1" operator="equal">
      <formula>"N/T"</formula>
    </cfRule>
    <cfRule type="cellIs" dxfId="1129" priority="530" stopIfTrue="1" operator="equal">
      <formula>"N/D"</formula>
    </cfRule>
  </conditionalFormatting>
  <conditionalFormatting sqref="D57:D91">
    <cfRule type="cellIs" dxfId="1128" priority="524" stopIfTrue="1" operator="equal">
      <formula>"-"</formula>
    </cfRule>
  </conditionalFormatting>
  <conditionalFormatting sqref="D99:D129">
    <cfRule type="expression" dxfId="1127" priority="518" stopIfTrue="1">
      <formula>ISBLANK(D99)</formula>
    </cfRule>
    <cfRule type="cellIs" dxfId="1126" priority="519" stopIfTrue="1" operator="equal">
      <formula>"Pasa"</formula>
    </cfRule>
    <cfRule type="cellIs" dxfId="1125" priority="520" stopIfTrue="1" operator="equal">
      <formula>"Falla"</formula>
    </cfRule>
    <cfRule type="cellIs" dxfId="1124" priority="521" stopIfTrue="1" operator="equal">
      <formula>"N/A"</formula>
    </cfRule>
    <cfRule type="cellIs" dxfId="1123" priority="522" stopIfTrue="1" operator="equal">
      <formula>"N/T"</formula>
    </cfRule>
    <cfRule type="cellIs" dxfId="1122" priority="523" stopIfTrue="1" operator="equal">
      <formula>"N/D"</formula>
    </cfRule>
  </conditionalFormatting>
  <conditionalFormatting sqref="D99:D129">
    <cfRule type="cellIs" dxfId="1121" priority="517" stopIfTrue="1" operator="equal">
      <formula>"-"</formula>
    </cfRule>
  </conditionalFormatting>
  <conditionalFormatting sqref="D137:D167">
    <cfRule type="expression" dxfId="1120" priority="511" stopIfTrue="1">
      <formula>ISBLANK(D137)</formula>
    </cfRule>
    <cfRule type="cellIs" dxfId="1119" priority="512" stopIfTrue="1" operator="equal">
      <formula>"Pasa"</formula>
    </cfRule>
    <cfRule type="cellIs" dxfId="1118" priority="513" stopIfTrue="1" operator="equal">
      <formula>"Falla"</formula>
    </cfRule>
    <cfRule type="cellIs" dxfId="1117" priority="514" stopIfTrue="1" operator="equal">
      <formula>"N/A"</formula>
    </cfRule>
    <cfRule type="cellIs" dxfId="1116" priority="515" stopIfTrue="1" operator="equal">
      <formula>"N/T"</formula>
    </cfRule>
    <cfRule type="cellIs" dxfId="1115" priority="516" stopIfTrue="1" operator="equal">
      <formula>"N/D"</formula>
    </cfRule>
  </conditionalFormatting>
  <conditionalFormatting sqref="D137:D167">
    <cfRule type="cellIs" dxfId="1114" priority="510" stopIfTrue="1" operator="equal">
      <formula>"-"</formula>
    </cfRule>
  </conditionalFormatting>
  <conditionalFormatting sqref="D175:D205">
    <cfRule type="expression" dxfId="1113" priority="497" stopIfTrue="1">
      <formula>ISBLANK(D175)</formula>
    </cfRule>
    <cfRule type="cellIs" dxfId="1112" priority="498" stopIfTrue="1" operator="equal">
      <formula>"Pasa"</formula>
    </cfRule>
    <cfRule type="cellIs" dxfId="1111" priority="499" stopIfTrue="1" operator="equal">
      <formula>"Falla"</formula>
    </cfRule>
    <cfRule type="cellIs" dxfId="1110" priority="500" stopIfTrue="1" operator="equal">
      <formula>"N/A"</formula>
    </cfRule>
    <cfRule type="cellIs" dxfId="1109" priority="501" stopIfTrue="1" operator="equal">
      <formula>"N/T"</formula>
    </cfRule>
    <cfRule type="cellIs" dxfId="1108" priority="502" stopIfTrue="1" operator="equal">
      <formula>"N/D"</formula>
    </cfRule>
  </conditionalFormatting>
  <conditionalFormatting sqref="D175:D205">
    <cfRule type="cellIs" dxfId="1107" priority="496" stopIfTrue="1" operator="equal">
      <formula>"-"</formula>
    </cfRule>
  </conditionalFormatting>
  <conditionalFormatting sqref="D209:D243">
    <cfRule type="expression" dxfId="1106" priority="490" stopIfTrue="1">
      <formula>ISBLANK(D209)</formula>
    </cfRule>
    <cfRule type="cellIs" dxfId="1105" priority="491" stopIfTrue="1" operator="equal">
      <formula>"Pasa"</formula>
    </cfRule>
    <cfRule type="cellIs" dxfId="1104" priority="492" stopIfTrue="1" operator="equal">
      <formula>"Falla"</formula>
    </cfRule>
    <cfRule type="cellIs" dxfId="1103" priority="493" stopIfTrue="1" operator="equal">
      <formula>"N/A"</formula>
    </cfRule>
    <cfRule type="cellIs" dxfId="1102" priority="494" stopIfTrue="1" operator="equal">
      <formula>"N/T"</formula>
    </cfRule>
    <cfRule type="cellIs" dxfId="1101" priority="495" stopIfTrue="1" operator="equal">
      <formula>"N/D"</formula>
    </cfRule>
  </conditionalFormatting>
  <conditionalFormatting sqref="D209:D243">
    <cfRule type="cellIs" dxfId="1100" priority="489" stopIfTrue="1" operator="equal">
      <formula>"-"</formula>
    </cfRule>
  </conditionalFormatting>
  <conditionalFormatting sqref="D247:D281">
    <cfRule type="expression" dxfId="1099" priority="483" stopIfTrue="1">
      <formula>ISBLANK(D247)</formula>
    </cfRule>
    <cfRule type="cellIs" dxfId="1098" priority="484" stopIfTrue="1" operator="equal">
      <formula>"Pasa"</formula>
    </cfRule>
    <cfRule type="cellIs" dxfId="1097" priority="485" stopIfTrue="1" operator="equal">
      <formula>"Falla"</formula>
    </cfRule>
    <cfRule type="cellIs" dxfId="1096" priority="486" stopIfTrue="1" operator="equal">
      <formula>"N/A"</formula>
    </cfRule>
    <cfRule type="cellIs" dxfId="1095" priority="487" stopIfTrue="1" operator="equal">
      <formula>"N/T"</formula>
    </cfRule>
    <cfRule type="cellIs" dxfId="1094" priority="488" stopIfTrue="1" operator="equal">
      <formula>"N/D"</formula>
    </cfRule>
  </conditionalFormatting>
  <conditionalFormatting sqref="D247:D281">
    <cfRule type="cellIs" dxfId="1093" priority="482" stopIfTrue="1" operator="equal">
      <formula>"-"</formula>
    </cfRule>
  </conditionalFormatting>
  <conditionalFormatting sqref="D289:D319">
    <cfRule type="expression" dxfId="1092" priority="476" stopIfTrue="1">
      <formula>ISBLANK(D289)</formula>
    </cfRule>
    <cfRule type="cellIs" dxfId="1091" priority="477" stopIfTrue="1" operator="equal">
      <formula>"Pasa"</formula>
    </cfRule>
    <cfRule type="cellIs" dxfId="1090" priority="478" stopIfTrue="1" operator="equal">
      <formula>"Falla"</formula>
    </cfRule>
    <cfRule type="cellIs" dxfId="1089" priority="479" stopIfTrue="1" operator="equal">
      <formula>"N/A"</formula>
    </cfRule>
    <cfRule type="cellIs" dxfId="1088" priority="480" stopIfTrue="1" operator="equal">
      <formula>"N/T"</formula>
    </cfRule>
    <cfRule type="cellIs" dxfId="1087" priority="481" stopIfTrue="1" operator="equal">
      <formula>"N/D"</formula>
    </cfRule>
  </conditionalFormatting>
  <conditionalFormatting sqref="D289:D319">
    <cfRule type="cellIs" dxfId="1086" priority="475" stopIfTrue="1" operator="equal">
      <formula>"-"</formula>
    </cfRule>
  </conditionalFormatting>
  <conditionalFormatting sqref="D323:D357">
    <cfRule type="expression" dxfId="1085" priority="469" stopIfTrue="1">
      <formula>ISBLANK(D323)</formula>
    </cfRule>
    <cfRule type="cellIs" dxfId="1084" priority="470" stopIfTrue="1" operator="equal">
      <formula>"Pasa"</formula>
    </cfRule>
    <cfRule type="cellIs" dxfId="1083" priority="471" stopIfTrue="1" operator="equal">
      <formula>"Falla"</formula>
    </cfRule>
    <cfRule type="cellIs" dxfId="1082" priority="472" stopIfTrue="1" operator="equal">
      <formula>"N/A"</formula>
    </cfRule>
    <cfRule type="cellIs" dxfId="1081" priority="473" stopIfTrue="1" operator="equal">
      <formula>"N/T"</formula>
    </cfRule>
    <cfRule type="cellIs" dxfId="1080" priority="474" stopIfTrue="1" operator="equal">
      <formula>"N/D"</formula>
    </cfRule>
  </conditionalFormatting>
  <conditionalFormatting sqref="D323:D357">
    <cfRule type="cellIs" dxfId="1079" priority="468" stopIfTrue="1" operator="equal">
      <formula>"-"</formula>
    </cfRule>
  </conditionalFormatting>
  <conditionalFormatting sqref="D365:D395">
    <cfRule type="expression" dxfId="1078" priority="462" stopIfTrue="1">
      <formula>ISBLANK(D365)</formula>
    </cfRule>
    <cfRule type="cellIs" dxfId="1077" priority="463" stopIfTrue="1" operator="equal">
      <formula>"Pasa"</formula>
    </cfRule>
    <cfRule type="cellIs" dxfId="1076" priority="464" stopIfTrue="1" operator="equal">
      <formula>"Falla"</formula>
    </cfRule>
    <cfRule type="cellIs" dxfId="1075" priority="465" stopIfTrue="1" operator="equal">
      <formula>"N/A"</formula>
    </cfRule>
    <cfRule type="cellIs" dxfId="1074" priority="466" stopIfTrue="1" operator="equal">
      <formula>"N/T"</formula>
    </cfRule>
    <cfRule type="cellIs" dxfId="1073" priority="467" stopIfTrue="1" operator="equal">
      <formula>"N/D"</formula>
    </cfRule>
  </conditionalFormatting>
  <conditionalFormatting sqref="D365:D395">
    <cfRule type="cellIs" dxfId="1072" priority="461" stopIfTrue="1" operator="equal">
      <formula>"-"</formula>
    </cfRule>
  </conditionalFormatting>
  <conditionalFormatting sqref="D399:D433">
    <cfRule type="expression" dxfId="1071" priority="455" stopIfTrue="1">
      <formula>ISBLANK(D399)</formula>
    </cfRule>
    <cfRule type="cellIs" dxfId="1070" priority="456" stopIfTrue="1" operator="equal">
      <formula>"Pasa"</formula>
    </cfRule>
    <cfRule type="cellIs" dxfId="1069" priority="457" stopIfTrue="1" operator="equal">
      <formula>"Falla"</formula>
    </cfRule>
    <cfRule type="cellIs" dxfId="1068" priority="458" stopIfTrue="1" operator="equal">
      <formula>"N/A"</formula>
    </cfRule>
    <cfRule type="cellIs" dxfId="1067" priority="459" stopIfTrue="1" operator="equal">
      <formula>"N/T"</formula>
    </cfRule>
    <cfRule type="cellIs" dxfId="1066" priority="460" stopIfTrue="1" operator="equal">
      <formula>"N/D"</formula>
    </cfRule>
  </conditionalFormatting>
  <conditionalFormatting sqref="D399:D433">
    <cfRule type="cellIs" dxfId="1065" priority="454" stopIfTrue="1" operator="equal">
      <formula>"-"</formula>
    </cfRule>
  </conditionalFormatting>
  <conditionalFormatting sqref="D437:D471">
    <cfRule type="expression" dxfId="1064" priority="448" stopIfTrue="1">
      <formula>ISBLANK(D437)</formula>
    </cfRule>
    <cfRule type="cellIs" dxfId="1063" priority="449" stopIfTrue="1" operator="equal">
      <formula>"Pasa"</formula>
    </cfRule>
    <cfRule type="cellIs" dxfId="1062" priority="450" stopIfTrue="1" operator="equal">
      <formula>"Falla"</formula>
    </cfRule>
    <cfRule type="cellIs" dxfId="1061" priority="451" stopIfTrue="1" operator="equal">
      <formula>"N/A"</formula>
    </cfRule>
    <cfRule type="cellIs" dxfId="1060" priority="452" stopIfTrue="1" operator="equal">
      <formula>"N/T"</formula>
    </cfRule>
    <cfRule type="cellIs" dxfId="1059" priority="453" stopIfTrue="1" operator="equal">
      <formula>"N/D"</formula>
    </cfRule>
  </conditionalFormatting>
  <conditionalFormatting sqref="D437:D471">
    <cfRule type="cellIs" dxfId="1058" priority="447" stopIfTrue="1" operator="equal">
      <formula>"-"</formula>
    </cfRule>
  </conditionalFormatting>
  <conditionalFormatting sqref="D475 D478:D509">
    <cfRule type="expression" dxfId="1057" priority="441" stopIfTrue="1">
      <formula>ISBLANK(D475)</formula>
    </cfRule>
    <cfRule type="cellIs" dxfId="1056" priority="442" stopIfTrue="1" operator="equal">
      <formula>"Pasa"</formula>
    </cfRule>
    <cfRule type="cellIs" dxfId="1055" priority="443" stopIfTrue="1" operator="equal">
      <formula>"Falla"</formula>
    </cfRule>
    <cfRule type="cellIs" dxfId="1054" priority="444" stopIfTrue="1" operator="equal">
      <formula>"N/A"</formula>
    </cfRule>
    <cfRule type="cellIs" dxfId="1053" priority="445" stopIfTrue="1" operator="equal">
      <formula>"N/T"</formula>
    </cfRule>
    <cfRule type="cellIs" dxfId="1052" priority="446" stopIfTrue="1" operator="equal">
      <formula>"N/D"</formula>
    </cfRule>
  </conditionalFormatting>
  <conditionalFormatting sqref="D475 D478:D509">
    <cfRule type="cellIs" dxfId="1051" priority="440" stopIfTrue="1" operator="equal">
      <formula>"-"</formula>
    </cfRule>
  </conditionalFormatting>
  <conditionalFormatting sqref="D513:D547">
    <cfRule type="expression" dxfId="1050" priority="434" stopIfTrue="1">
      <formula>ISBLANK(D513)</formula>
    </cfRule>
    <cfRule type="cellIs" dxfId="1049" priority="435" stopIfTrue="1" operator="equal">
      <formula>"Pasa"</formula>
    </cfRule>
    <cfRule type="cellIs" dxfId="1048" priority="436" stopIfTrue="1" operator="equal">
      <formula>"Falla"</formula>
    </cfRule>
    <cfRule type="cellIs" dxfId="1047" priority="437" stopIfTrue="1" operator="equal">
      <formula>"N/A"</formula>
    </cfRule>
    <cfRule type="cellIs" dxfId="1046" priority="438" stopIfTrue="1" operator="equal">
      <formula>"N/T"</formula>
    </cfRule>
    <cfRule type="cellIs" dxfId="1045" priority="439" stopIfTrue="1" operator="equal">
      <formula>"N/D"</formula>
    </cfRule>
  </conditionalFormatting>
  <conditionalFormatting sqref="D513:D547">
    <cfRule type="cellIs" dxfId="1044" priority="433" stopIfTrue="1" operator="equal">
      <formula>"-"</formula>
    </cfRule>
  </conditionalFormatting>
  <conditionalFormatting sqref="D551:D585">
    <cfRule type="expression" dxfId="1043" priority="427" stopIfTrue="1">
      <formula>ISBLANK(D551)</formula>
    </cfRule>
    <cfRule type="cellIs" dxfId="1042" priority="428" stopIfTrue="1" operator="equal">
      <formula>"Pasa"</formula>
    </cfRule>
    <cfRule type="cellIs" dxfId="1041" priority="429" stopIfTrue="1" operator="equal">
      <formula>"Falla"</formula>
    </cfRule>
    <cfRule type="cellIs" dxfId="1040" priority="430" stopIfTrue="1" operator="equal">
      <formula>"N/A"</formula>
    </cfRule>
    <cfRule type="cellIs" dxfId="1039" priority="431" stopIfTrue="1" operator="equal">
      <formula>"N/T"</formula>
    </cfRule>
    <cfRule type="cellIs" dxfId="1038" priority="432" stopIfTrue="1" operator="equal">
      <formula>"N/D"</formula>
    </cfRule>
  </conditionalFormatting>
  <conditionalFormatting sqref="D551:D585">
    <cfRule type="cellIs" dxfId="1037" priority="426" stopIfTrue="1" operator="equal">
      <formula>"-"</formula>
    </cfRule>
  </conditionalFormatting>
  <conditionalFormatting sqref="D593:D623">
    <cfRule type="expression" dxfId="1036" priority="420" stopIfTrue="1">
      <formula>ISBLANK(D593)</formula>
    </cfRule>
    <cfRule type="cellIs" dxfId="1035" priority="421" stopIfTrue="1" operator="equal">
      <formula>"Pasa"</formula>
    </cfRule>
    <cfRule type="cellIs" dxfId="1034" priority="422" stopIfTrue="1" operator="equal">
      <formula>"Falla"</formula>
    </cfRule>
    <cfRule type="cellIs" dxfId="1033" priority="423" stopIfTrue="1" operator="equal">
      <formula>"N/A"</formula>
    </cfRule>
    <cfRule type="cellIs" dxfId="1032" priority="424" stopIfTrue="1" operator="equal">
      <formula>"N/T"</formula>
    </cfRule>
    <cfRule type="cellIs" dxfId="1031" priority="425" stopIfTrue="1" operator="equal">
      <formula>"N/D"</formula>
    </cfRule>
  </conditionalFormatting>
  <conditionalFormatting sqref="D593:D623">
    <cfRule type="cellIs" dxfId="1030" priority="419" stopIfTrue="1" operator="equal">
      <formula>"-"</formula>
    </cfRule>
  </conditionalFormatting>
  <conditionalFormatting sqref="D627:D661">
    <cfRule type="expression" dxfId="1029" priority="413" stopIfTrue="1">
      <formula>ISBLANK(D627)</formula>
    </cfRule>
    <cfRule type="cellIs" dxfId="1028" priority="414" stopIfTrue="1" operator="equal">
      <formula>"Pasa"</formula>
    </cfRule>
    <cfRule type="cellIs" dxfId="1027" priority="415" stopIfTrue="1" operator="equal">
      <formula>"Falla"</formula>
    </cfRule>
    <cfRule type="cellIs" dxfId="1026" priority="416" stopIfTrue="1" operator="equal">
      <formula>"N/A"</formula>
    </cfRule>
    <cfRule type="cellIs" dxfId="1025" priority="417" stopIfTrue="1" operator="equal">
      <formula>"N/T"</formula>
    </cfRule>
    <cfRule type="cellIs" dxfId="1024" priority="418" stopIfTrue="1" operator="equal">
      <formula>"N/D"</formula>
    </cfRule>
  </conditionalFormatting>
  <conditionalFormatting sqref="D627:D661">
    <cfRule type="cellIs" dxfId="1023" priority="412" stopIfTrue="1" operator="equal">
      <formula>"-"</formula>
    </cfRule>
  </conditionalFormatting>
  <conditionalFormatting sqref="D665 D669:D699">
    <cfRule type="expression" dxfId="1022" priority="406" stopIfTrue="1">
      <formula>ISBLANK(D665)</formula>
    </cfRule>
    <cfRule type="cellIs" dxfId="1021" priority="407" stopIfTrue="1" operator="equal">
      <formula>"Pasa"</formula>
    </cfRule>
    <cfRule type="cellIs" dxfId="1020" priority="408" stopIfTrue="1" operator="equal">
      <formula>"Falla"</formula>
    </cfRule>
    <cfRule type="cellIs" dxfId="1019" priority="409" stopIfTrue="1" operator="equal">
      <formula>"N/A"</formula>
    </cfRule>
    <cfRule type="cellIs" dxfId="1018" priority="410" stopIfTrue="1" operator="equal">
      <formula>"N/T"</formula>
    </cfRule>
    <cfRule type="cellIs" dxfId="1017" priority="411" stopIfTrue="1" operator="equal">
      <formula>"N/D"</formula>
    </cfRule>
  </conditionalFormatting>
  <conditionalFormatting sqref="D665 D669:D699">
    <cfRule type="cellIs" dxfId="1016" priority="405" stopIfTrue="1" operator="equal">
      <formula>"-"</formula>
    </cfRule>
  </conditionalFormatting>
  <conditionalFormatting sqref="D703:D737">
    <cfRule type="expression" dxfId="1015" priority="399" stopIfTrue="1">
      <formula>ISBLANK(D703)</formula>
    </cfRule>
    <cfRule type="cellIs" dxfId="1014" priority="400" stopIfTrue="1" operator="equal">
      <formula>"Pasa"</formula>
    </cfRule>
    <cfRule type="cellIs" dxfId="1013" priority="401" stopIfTrue="1" operator="equal">
      <formula>"Falla"</formula>
    </cfRule>
    <cfRule type="cellIs" dxfId="1012" priority="402" stopIfTrue="1" operator="equal">
      <formula>"N/A"</formula>
    </cfRule>
    <cfRule type="cellIs" dxfId="1011" priority="403" stopIfTrue="1" operator="equal">
      <formula>"N/T"</formula>
    </cfRule>
    <cfRule type="cellIs" dxfId="1010" priority="404" stopIfTrue="1" operator="equal">
      <formula>"N/D"</formula>
    </cfRule>
  </conditionalFormatting>
  <conditionalFormatting sqref="D703:D737">
    <cfRule type="cellIs" dxfId="1009" priority="398" stopIfTrue="1" operator="equal">
      <formula>"-"</formula>
    </cfRule>
  </conditionalFormatting>
  <conditionalFormatting sqref="D741:D775">
    <cfRule type="expression" dxfId="1008" priority="392" stopIfTrue="1">
      <formula>ISBLANK(D741)</formula>
    </cfRule>
    <cfRule type="cellIs" dxfId="1007" priority="393" stopIfTrue="1" operator="equal">
      <formula>"Pasa"</formula>
    </cfRule>
    <cfRule type="cellIs" dxfId="1006" priority="394" stopIfTrue="1" operator="equal">
      <formula>"Falla"</formula>
    </cfRule>
    <cfRule type="cellIs" dxfId="1005" priority="395" stopIfTrue="1" operator="equal">
      <formula>"N/A"</formula>
    </cfRule>
    <cfRule type="cellIs" dxfId="1004" priority="396" stopIfTrue="1" operator="equal">
      <formula>"N/T"</formula>
    </cfRule>
    <cfRule type="cellIs" dxfId="1003" priority="397" stopIfTrue="1" operator="equal">
      <formula>"N/D"</formula>
    </cfRule>
  </conditionalFormatting>
  <conditionalFormatting sqref="D741:D775">
    <cfRule type="cellIs" dxfId="1002" priority="391" stopIfTrue="1" operator="equal">
      <formula>"-"</formula>
    </cfRule>
  </conditionalFormatting>
  <conditionalFormatting sqref="D779 D783:D813">
    <cfRule type="expression" dxfId="1001" priority="385" stopIfTrue="1">
      <formula>ISBLANK(D779)</formula>
    </cfRule>
    <cfRule type="cellIs" dxfId="1000" priority="386" stopIfTrue="1" operator="equal">
      <formula>"Pasa"</formula>
    </cfRule>
    <cfRule type="cellIs" dxfId="999" priority="387" stopIfTrue="1" operator="equal">
      <formula>"Falla"</formula>
    </cfRule>
    <cfRule type="cellIs" dxfId="998" priority="388" stopIfTrue="1" operator="equal">
      <formula>"N/A"</formula>
    </cfRule>
    <cfRule type="cellIs" dxfId="997" priority="389" stopIfTrue="1" operator="equal">
      <formula>"N/T"</formula>
    </cfRule>
    <cfRule type="cellIs" dxfId="996" priority="390" stopIfTrue="1" operator="equal">
      <formula>"N/D"</formula>
    </cfRule>
  </conditionalFormatting>
  <conditionalFormatting sqref="D779 D783:D813">
    <cfRule type="cellIs" dxfId="995" priority="384" stopIfTrue="1" operator="equal">
      <formula>"-"</formula>
    </cfRule>
  </conditionalFormatting>
  <conditionalFormatting sqref="D817:D851">
    <cfRule type="expression" dxfId="994" priority="378" stopIfTrue="1">
      <formula>ISBLANK(D817)</formula>
    </cfRule>
    <cfRule type="cellIs" dxfId="993" priority="379" stopIfTrue="1" operator="equal">
      <formula>"Pasa"</formula>
    </cfRule>
    <cfRule type="cellIs" dxfId="992" priority="380" stopIfTrue="1" operator="equal">
      <formula>"Falla"</formula>
    </cfRule>
    <cfRule type="cellIs" dxfId="991" priority="381" stopIfTrue="1" operator="equal">
      <formula>"N/A"</formula>
    </cfRule>
    <cfRule type="cellIs" dxfId="990" priority="382" stopIfTrue="1" operator="equal">
      <formula>"N/T"</formula>
    </cfRule>
    <cfRule type="cellIs" dxfId="989" priority="383" stopIfTrue="1" operator="equal">
      <formula>"N/D"</formula>
    </cfRule>
  </conditionalFormatting>
  <conditionalFormatting sqref="D817:D851">
    <cfRule type="cellIs" dxfId="988" priority="377" stopIfTrue="1" operator="equal">
      <formula>"-"</formula>
    </cfRule>
  </conditionalFormatting>
  <conditionalFormatting sqref="D855:D889">
    <cfRule type="expression" dxfId="987" priority="371" stopIfTrue="1">
      <formula>ISBLANK(D855)</formula>
    </cfRule>
    <cfRule type="cellIs" dxfId="986" priority="372" stopIfTrue="1" operator="equal">
      <formula>"Pasa"</formula>
    </cfRule>
    <cfRule type="cellIs" dxfId="985" priority="373" stopIfTrue="1" operator="equal">
      <formula>"Falla"</formula>
    </cfRule>
    <cfRule type="cellIs" dxfId="984" priority="374" stopIfTrue="1" operator="equal">
      <formula>"N/A"</formula>
    </cfRule>
    <cfRule type="cellIs" dxfId="983" priority="375" stopIfTrue="1" operator="equal">
      <formula>"N/T"</formula>
    </cfRule>
    <cfRule type="cellIs" dxfId="982" priority="376" stopIfTrue="1" operator="equal">
      <formula>"N/D"</formula>
    </cfRule>
  </conditionalFormatting>
  <conditionalFormatting sqref="D855:D889">
    <cfRule type="cellIs" dxfId="981" priority="370" stopIfTrue="1" operator="equal">
      <formula>"-"</formula>
    </cfRule>
  </conditionalFormatting>
  <conditionalFormatting sqref="D893 D897:D927">
    <cfRule type="expression" dxfId="980" priority="364" stopIfTrue="1">
      <formula>ISBLANK(D893)</formula>
    </cfRule>
    <cfRule type="cellIs" dxfId="979" priority="365" stopIfTrue="1" operator="equal">
      <formula>"Pasa"</formula>
    </cfRule>
    <cfRule type="cellIs" dxfId="978" priority="366" stopIfTrue="1" operator="equal">
      <formula>"Falla"</formula>
    </cfRule>
    <cfRule type="cellIs" dxfId="977" priority="367" stopIfTrue="1" operator="equal">
      <formula>"N/A"</formula>
    </cfRule>
    <cfRule type="cellIs" dxfId="976" priority="368" stopIfTrue="1" operator="equal">
      <formula>"N/T"</formula>
    </cfRule>
    <cfRule type="cellIs" dxfId="975" priority="369" stopIfTrue="1" operator="equal">
      <formula>"N/D"</formula>
    </cfRule>
  </conditionalFormatting>
  <conditionalFormatting sqref="D893 D897:D927">
    <cfRule type="cellIs" dxfId="974" priority="363" stopIfTrue="1" operator="equal">
      <formula>"-"</formula>
    </cfRule>
  </conditionalFormatting>
  <conditionalFormatting sqref="D931:D965">
    <cfRule type="expression" dxfId="973" priority="357" stopIfTrue="1">
      <formula>ISBLANK(D931)</formula>
    </cfRule>
    <cfRule type="cellIs" dxfId="972" priority="358" stopIfTrue="1" operator="equal">
      <formula>"Pasa"</formula>
    </cfRule>
    <cfRule type="cellIs" dxfId="971" priority="359" stopIfTrue="1" operator="equal">
      <formula>"Falla"</formula>
    </cfRule>
    <cfRule type="cellIs" dxfId="970" priority="360" stopIfTrue="1" operator="equal">
      <formula>"N/A"</formula>
    </cfRule>
    <cfRule type="cellIs" dxfId="969" priority="361" stopIfTrue="1" operator="equal">
      <formula>"N/T"</formula>
    </cfRule>
    <cfRule type="cellIs" dxfId="968" priority="362" stopIfTrue="1" operator="equal">
      <formula>"N/D"</formula>
    </cfRule>
  </conditionalFormatting>
  <conditionalFormatting sqref="D931:D965">
    <cfRule type="cellIs" dxfId="967" priority="356" stopIfTrue="1" operator="equal">
      <formula>"-"</formula>
    </cfRule>
  </conditionalFormatting>
  <conditionalFormatting sqref="D969 D973:D1003">
    <cfRule type="expression" dxfId="966" priority="350" stopIfTrue="1">
      <formula>ISBLANK(D969)</formula>
    </cfRule>
    <cfRule type="cellIs" dxfId="965" priority="351" stopIfTrue="1" operator="equal">
      <formula>"Pasa"</formula>
    </cfRule>
    <cfRule type="cellIs" dxfId="964" priority="352" stopIfTrue="1" operator="equal">
      <formula>"Falla"</formula>
    </cfRule>
    <cfRule type="cellIs" dxfId="963" priority="353" stopIfTrue="1" operator="equal">
      <formula>"N/A"</formula>
    </cfRule>
    <cfRule type="cellIs" dxfId="962" priority="354" stopIfTrue="1" operator="equal">
      <formula>"N/T"</formula>
    </cfRule>
    <cfRule type="cellIs" dxfId="961" priority="355" stopIfTrue="1" operator="equal">
      <formula>"N/D"</formula>
    </cfRule>
  </conditionalFormatting>
  <conditionalFormatting sqref="D969 D973:D1003">
    <cfRule type="cellIs" dxfId="960" priority="349" stopIfTrue="1" operator="equal">
      <formula>"-"</formula>
    </cfRule>
  </conditionalFormatting>
  <conditionalFormatting sqref="D1007:D1041">
    <cfRule type="expression" dxfId="959" priority="343" stopIfTrue="1">
      <formula>ISBLANK(D1007)</formula>
    </cfRule>
    <cfRule type="cellIs" dxfId="958" priority="344" stopIfTrue="1" operator="equal">
      <formula>"Pasa"</formula>
    </cfRule>
    <cfRule type="cellIs" dxfId="957" priority="345" stopIfTrue="1" operator="equal">
      <formula>"Falla"</formula>
    </cfRule>
    <cfRule type="cellIs" dxfId="956" priority="346" stopIfTrue="1" operator="equal">
      <formula>"N/A"</formula>
    </cfRule>
    <cfRule type="cellIs" dxfId="955" priority="347" stopIfTrue="1" operator="equal">
      <formula>"N/T"</formula>
    </cfRule>
    <cfRule type="cellIs" dxfId="954" priority="348" stopIfTrue="1" operator="equal">
      <formula>"N/D"</formula>
    </cfRule>
  </conditionalFormatting>
  <conditionalFormatting sqref="D1007:D1041">
    <cfRule type="cellIs" dxfId="953" priority="342" stopIfTrue="1" operator="equal">
      <formula>"-"</formula>
    </cfRule>
  </conditionalFormatting>
  <conditionalFormatting sqref="D1045 D1049:D1079">
    <cfRule type="expression" dxfId="952" priority="336" stopIfTrue="1">
      <formula>ISBLANK(D1045)</formula>
    </cfRule>
    <cfRule type="cellIs" dxfId="951" priority="337" stopIfTrue="1" operator="equal">
      <formula>"Pasa"</formula>
    </cfRule>
    <cfRule type="cellIs" dxfId="950" priority="338" stopIfTrue="1" operator="equal">
      <formula>"Falla"</formula>
    </cfRule>
    <cfRule type="cellIs" dxfId="949" priority="339" stopIfTrue="1" operator="equal">
      <formula>"N/A"</formula>
    </cfRule>
    <cfRule type="cellIs" dxfId="948" priority="340" stopIfTrue="1" operator="equal">
      <formula>"N/T"</formula>
    </cfRule>
    <cfRule type="cellIs" dxfId="947" priority="341" stopIfTrue="1" operator="equal">
      <formula>"N/D"</formula>
    </cfRule>
  </conditionalFormatting>
  <conditionalFormatting sqref="D1045 D1049:D1079">
    <cfRule type="cellIs" dxfId="946" priority="335" stopIfTrue="1" operator="equal">
      <formula>"-"</formula>
    </cfRule>
  </conditionalFormatting>
  <conditionalFormatting sqref="D1083:D1117">
    <cfRule type="expression" dxfId="945" priority="329" stopIfTrue="1">
      <formula>ISBLANK(D1083)</formula>
    </cfRule>
    <cfRule type="cellIs" dxfId="944" priority="330" stopIfTrue="1" operator="equal">
      <formula>"Pasa"</formula>
    </cfRule>
    <cfRule type="cellIs" dxfId="943" priority="331" stopIfTrue="1" operator="equal">
      <formula>"Falla"</formula>
    </cfRule>
    <cfRule type="cellIs" dxfId="942" priority="332" stopIfTrue="1" operator="equal">
      <formula>"N/A"</formula>
    </cfRule>
    <cfRule type="cellIs" dxfId="941" priority="333" stopIfTrue="1" operator="equal">
      <formula>"N/T"</formula>
    </cfRule>
    <cfRule type="cellIs" dxfId="940" priority="334" stopIfTrue="1" operator="equal">
      <formula>"N/D"</formula>
    </cfRule>
  </conditionalFormatting>
  <conditionalFormatting sqref="D1083:D1117">
    <cfRule type="cellIs" dxfId="939" priority="328" stopIfTrue="1" operator="equal">
      <formula>"-"</formula>
    </cfRule>
  </conditionalFormatting>
  <conditionalFormatting sqref="D1121:D1155">
    <cfRule type="expression" dxfId="938" priority="322" stopIfTrue="1">
      <formula>ISBLANK(D1121)</formula>
    </cfRule>
    <cfRule type="cellIs" dxfId="937" priority="323" stopIfTrue="1" operator="equal">
      <formula>"Pasa"</formula>
    </cfRule>
    <cfRule type="cellIs" dxfId="936" priority="324" stopIfTrue="1" operator="equal">
      <formula>"Falla"</formula>
    </cfRule>
    <cfRule type="cellIs" dxfId="935" priority="325" stopIfTrue="1" operator="equal">
      <formula>"N/A"</formula>
    </cfRule>
    <cfRule type="cellIs" dxfId="934" priority="326" stopIfTrue="1" operator="equal">
      <formula>"N/T"</formula>
    </cfRule>
    <cfRule type="cellIs" dxfId="933" priority="327" stopIfTrue="1" operator="equal">
      <formula>"N/D"</formula>
    </cfRule>
  </conditionalFormatting>
  <conditionalFormatting sqref="D1121:D1155">
    <cfRule type="cellIs" dxfId="932" priority="321" stopIfTrue="1" operator="equal">
      <formula>"-"</formula>
    </cfRule>
  </conditionalFormatting>
  <conditionalFormatting sqref="D1159:D1193">
    <cfRule type="expression" dxfId="931" priority="315" stopIfTrue="1">
      <formula>ISBLANK(D1159)</formula>
    </cfRule>
    <cfRule type="cellIs" dxfId="930" priority="316" stopIfTrue="1" operator="equal">
      <formula>"Pasa"</formula>
    </cfRule>
    <cfRule type="cellIs" dxfId="929" priority="317" stopIfTrue="1" operator="equal">
      <formula>"Falla"</formula>
    </cfRule>
    <cfRule type="cellIs" dxfId="928" priority="318" stopIfTrue="1" operator="equal">
      <formula>"N/A"</formula>
    </cfRule>
    <cfRule type="cellIs" dxfId="927" priority="319" stopIfTrue="1" operator="equal">
      <formula>"N/T"</formula>
    </cfRule>
    <cfRule type="cellIs" dxfId="926" priority="320" stopIfTrue="1" operator="equal">
      <formula>"N/D"</formula>
    </cfRule>
  </conditionalFormatting>
  <conditionalFormatting sqref="D1159:D1193">
    <cfRule type="cellIs" dxfId="925" priority="314" stopIfTrue="1" operator="equal">
      <formula>"-"</formula>
    </cfRule>
  </conditionalFormatting>
  <conditionalFormatting sqref="D1197:D1231">
    <cfRule type="expression" dxfId="924" priority="308" stopIfTrue="1">
      <formula>ISBLANK(D1197)</formula>
    </cfRule>
    <cfRule type="cellIs" dxfId="923" priority="309" stopIfTrue="1" operator="equal">
      <formula>"Pasa"</formula>
    </cfRule>
    <cfRule type="cellIs" dxfId="922" priority="310" stopIfTrue="1" operator="equal">
      <formula>"Falla"</formula>
    </cfRule>
    <cfRule type="cellIs" dxfId="921" priority="311" stopIfTrue="1" operator="equal">
      <formula>"N/A"</formula>
    </cfRule>
    <cfRule type="cellIs" dxfId="920" priority="312" stopIfTrue="1" operator="equal">
      <formula>"N/T"</formula>
    </cfRule>
    <cfRule type="cellIs" dxfId="919" priority="313" stopIfTrue="1" operator="equal">
      <formula>"N/D"</formula>
    </cfRule>
  </conditionalFormatting>
  <conditionalFormatting sqref="D1197:D1231">
    <cfRule type="cellIs" dxfId="918" priority="307" stopIfTrue="1" operator="equal">
      <formula>"-"</formula>
    </cfRule>
  </conditionalFormatting>
  <conditionalFormatting sqref="D1235:D1269">
    <cfRule type="expression" dxfId="917" priority="301" stopIfTrue="1">
      <formula>ISBLANK(D1235)</formula>
    </cfRule>
    <cfRule type="cellIs" dxfId="916" priority="302" stopIfTrue="1" operator="equal">
      <formula>"Pasa"</formula>
    </cfRule>
    <cfRule type="cellIs" dxfId="915" priority="303" stopIfTrue="1" operator="equal">
      <formula>"Falla"</formula>
    </cfRule>
    <cfRule type="cellIs" dxfId="914" priority="304" stopIfTrue="1" operator="equal">
      <formula>"N/A"</formula>
    </cfRule>
    <cfRule type="cellIs" dxfId="913" priority="305" stopIfTrue="1" operator="equal">
      <formula>"N/T"</formula>
    </cfRule>
    <cfRule type="cellIs" dxfId="912" priority="306" stopIfTrue="1" operator="equal">
      <formula>"N/D"</formula>
    </cfRule>
  </conditionalFormatting>
  <conditionalFormatting sqref="D1235:D1269">
    <cfRule type="cellIs" dxfId="911" priority="300" stopIfTrue="1" operator="equal">
      <formula>"-"</formula>
    </cfRule>
  </conditionalFormatting>
  <conditionalFormatting sqref="D1273 D1277:D1307">
    <cfRule type="expression" dxfId="910" priority="294" stopIfTrue="1">
      <formula>ISBLANK(D1273)</formula>
    </cfRule>
    <cfRule type="cellIs" dxfId="909" priority="295" stopIfTrue="1" operator="equal">
      <formula>"Pasa"</formula>
    </cfRule>
    <cfRule type="cellIs" dxfId="908" priority="296" stopIfTrue="1" operator="equal">
      <formula>"Falla"</formula>
    </cfRule>
    <cfRule type="cellIs" dxfId="907" priority="297" stopIfTrue="1" operator="equal">
      <formula>"N/A"</formula>
    </cfRule>
    <cfRule type="cellIs" dxfId="906" priority="298" stopIfTrue="1" operator="equal">
      <formula>"N/T"</formula>
    </cfRule>
    <cfRule type="cellIs" dxfId="905" priority="299" stopIfTrue="1" operator="equal">
      <formula>"N/D"</formula>
    </cfRule>
  </conditionalFormatting>
  <conditionalFormatting sqref="D1273 D1277:D1307">
    <cfRule type="cellIs" dxfId="904" priority="293" stopIfTrue="1" operator="equal">
      <formula>"-"</formula>
    </cfRule>
  </conditionalFormatting>
  <conditionalFormatting sqref="D1311:D1345">
    <cfRule type="expression" dxfId="903" priority="287" stopIfTrue="1">
      <formula>ISBLANK(D1311)</formula>
    </cfRule>
    <cfRule type="cellIs" dxfId="902" priority="288" stopIfTrue="1" operator="equal">
      <formula>"Pasa"</formula>
    </cfRule>
    <cfRule type="cellIs" dxfId="901" priority="289" stopIfTrue="1" operator="equal">
      <formula>"Falla"</formula>
    </cfRule>
    <cfRule type="cellIs" dxfId="900" priority="290" stopIfTrue="1" operator="equal">
      <formula>"N/A"</formula>
    </cfRule>
    <cfRule type="cellIs" dxfId="899" priority="291" stopIfTrue="1" operator="equal">
      <formula>"N/T"</formula>
    </cfRule>
    <cfRule type="cellIs" dxfId="898" priority="292" stopIfTrue="1" operator="equal">
      <formula>"N/D"</formula>
    </cfRule>
  </conditionalFormatting>
  <conditionalFormatting sqref="D1311:D1345">
    <cfRule type="cellIs" dxfId="897" priority="286" stopIfTrue="1" operator="equal">
      <formula>"-"</formula>
    </cfRule>
  </conditionalFormatting>
  <conditionalFormatting sqref="D1349:D1383">
    <cfRule type="expression" dxfId="896" priority="280" stopIfTrue="1">
      <formula>ISBLANK(D1349)</formula>
    </cfRule>
    <cfRule type="cellIs" dxfId="895" priority="281" stopIfTrue="1" operator="equal">
      <formula>"Pasa"</formula>
    </cfRule>
    <cfRule type="cellIs" dxfId="894" priority="282" stopIfTrue="1" operator="equal">
      <formula>"Falla"</formula>
    </cfRule>
    <cfRule type="cellIs" dxfId="893" priority="283" stopIfTrue="1" operator="equal">
      <formula>"N/A"</formula>
    </cfRule>
    <cfRule type="cellIs" dxfId="892" priority="284" stopIfTrue="1" operator="equal">
      <formula>"N/T"</formula>
    </cfRule>
    <cfRule type="cellIs" dxfId="891" priority="285" stopIfTrue="1" operator="equal">
      <formula>"N/D"</formula>
    </cfRule>
  </conditionalFormatting>
  <conditionalFormatting sqref="D1349:D1383">
    <cfRule type="cellIs" dxfId="890" priority="279" stopIfTrue="1" operator="equal">
      <formula>"-"</formula>
    </cfRule>
  </conditionalFormatting>
  <conditionalFormatting sqref="D1387:D1421">
    <cfRule type="expression" dxfId="889" priority="273" stopIfTrue="1">
      <formula>ISBLANK(D1387)</formula>
    </cfRule>
    <cfRule type="cellIs" dxfId="888" priority="274" stopIfTrue="1" operator="equal">
      <formula>"Pasa"</formula>
    </cfRule>
    <cfRule type="cellIs" dxfId="887" priority="275" stopIfTrue="1" operator="equal">
      <formula>"Falla"</formula>
    </cfRule>
    <cfRule type="cellIs" dxfId="886" priority="276" stopIfTrue="1" operator="equal">
      <formula>"N/A"</formula>
    </cfRule>
    <cfRule type="cellIs" dxfId="885" priority="277" stopIfTrue="1" operator="equal">
      <formula>"N/T"</formula>
    </cfRule>
    <cfRule type="cellIs" dxfId="884" priority="278" stopIfTrue="1" operator="equal">
      <formula>"N/D"</formula>
    </cfRule>
  </conditionalFormatting>
  <conditionalFormatting sqref="D1387:D1421">
    <cfRule type="cellIs" dxfId="883" priority="272" stopIfTrue="1" operator="equal">
      <formula>"-"</formula>
    </cfRule>
  </conditionalFormatting>
  <conditionalFormatting sqref="D1425:D1459">
    <cfRule type="expression" dxfId="882" priority="266" stopIfTrue="1">
      <formula>ISBLANK(D1425)</formula>
    </cfRule>
    <cfRule type="cellIs" dxfId="881" priority="267" stopIfTrue="1" operator="equal">
      <formula>"Pasa"</formula>
    </cfRule>
    <cfRule type="cellIs" dxfId="880" priority="268" stopIfTrue="1" operator="equal">
      <formula>"Falla"</formula>
    </cfRule>
    <cfRule type="cellIs" dxfId="879" priority="269" stopIfTrue="1" operator="equal">
      <formula>"N/A"</formula>
    </cfRule>
    <cfRule type="cellIs" dxfId="878" priority="270" stopIfTrue="1" operator="equal">
      <formula>"N/T"</formula>
    </cfRule>
    <cfRule type="cellIs" dxfId="877" priority="271" stopIfTrue="1" operator="equal">
      <formula>"N/D"</formula>
    </cfRule>
  </conditionalFormatting>
  <conditionalFormatting sqref="D1425:D1459">
    <cfRule type="cellIs" dxfId="876" priority="265" stopIfTrue="1" operator="equal">
      <formula>"-"</formula>
    </cfRule>
  </conditionalFormatting>
  <conditionalFormatting sqref="D1463:D1497">
    <cfRule type="expression" dxfId="875" priority="259" stopIfTrue="1">
      <formula>ISBLANK(D1463)</formula>
    </cfRule>
    <cfRule type="cellIs" dxfId="874" priority="260" stopIfTrue="1" operator="equal">
      <formula>"Pasa"</formula>
    </cfRule>
    <cfRule type="cellIs" dxfId="873" priority="261" stopIfTrue="1" operator="equal">
      <formula>"Falla"</formula>
    </cfRule>
    <cfRule type="cellIs" dxfId="872" priority="262" stopIfTrue="1" operator="equal">
      <formula>"N/A"</formula>
    </cfRule>
    <cfRule type="cellIs" dxfId="871" priority="263" stopIfTrue="1" operator="equal">
      <formula>"N/T"</formula>
    </cfRule>
    <cfRule type="cellIs" dxfId="870" priority="264" stopIfTrue="1" operator="equal">
      <formula>"N/D"</formula>
    </cfRule>
  </conditionalFormatting>
  <conditionalFormatting sqref="D1463:D1497">
    <cfRule type="cellIs" dxfId="869" priority="258" stopIfTrue="1" operator="equal">
      <formula>"-"</formula>
    </cfRule>
  </conditionalFormatting>
  <conditionalFormatting sqref="D1505:D1535">
    <cfRule type="expression" dxfId="868" priority="252" stopIfTrue="1">
      <formula>ISBLANK(D1505)</formula>
    </cfRule>
    <cfRule type="cellIs" dxfId="867" priority="253" stopIfTrue="1" operator="equal">
      <formula>"Pasa"</formula>
    </cfRule>
    <cfRule type="cellIs" dxfId="866" priority="254" stopIfTrue="1" operator="equal">
      <formula>"Falla"</formula>
    </cfRule>
    <cfRule type="cellIs" dxfId="865" priority="255" stopIfTrue="1" operator="equal">
      <formula>"N/A"</formula>
    </cfRule>
    <cfRule type="cellIs" dxfId="864" priority="256" stopIfTrue="1" operator="equal">
      <formula>"N/T"</formula>
    </cfRule>
    <cfRule type="cellIs" dxfId="863" priority="257" stopIfTrue="1" operator="equal">
      <formula>"N/D"</formula>
    </cfRule>
  </conditionalFormatting>
  <conditionalFormatting sqref="D1505:D1535">
    <cfRule type="cellIs" dxfId="862" priority="251" stopIfTrue="1" operator="equal">
      <formula>"-"</formula>
    </cfRule>
  </conditionalFormatting>
  <conditionalFormatting sqref="D1543:D1573">
    <cfRule type="expression" dxfId="861" priority="245" stopIfTrue="1">
      <formula>ISBLANK(D1543)</formula>
    </cfRule>
    <cfRule type="cellIs" dxfId="860" priority="246" stopIfTrue="1" operator="equal">
      <formula>"Pasa"</formula>
    </cfRule>
    <cfRule type="cellIs" dxfId="859" priority="247" stopIfTrue="1" operator="equal">
      <formula>"Falla"</formula>
    </cfRule>
    <cfRule type="cellIs" dxfId="858" priority="248" stopIfTrue="1" operator="equal">
      <formula>"N/A"</formula>
    </cfRule>
    <cfRule type="cellIs" dxfId="857" priority="249" stopIfTrue="1" operator="equal">
      <formula>"N/T"</formula>
    </cfRule>
    <cfRule type="cellIs" dxfId="856" priority="250" stopIfTrue="1" operator="equal">
      <formula>"N/D"</formula>
    </cfRule>
  </conditionalFormatting>
  <conditionalFormatting sqref="D1543:D1573">
    <cfRule type="cellIs" dxfId="855" priority="244" stopIfTrue="1" operator="equal">
      <formula>"-"</formula>
    </cfRule>
  </conditionalFormatting>
  <conditionalFormatting sqref="D1581:D1611">
    <cfRule type="expression" dxfId="854" priority="238" stopIfTrue="1">
      <formula>ISBLANK(D1581)</formula>
    </cfRule>
    <cfRule type="cellIs" dxfId="853" priority="239" stopIfTrue="1" operator="equal">
      <formula>"Pasa"</formula>
    </cfRule>
    <cfRule type="cellIs" dxfId="852" priority="240" stopIfTrue="1" operator="equal">
      <formula>"Falla"</formula>
    </cfRule>
    <cfRule type="cellIs" dxfId="851" priority="241" stopIfTrue="1" operator="equal">
      <formula>"N/A"</formula>
    </cfRule>
    <cfRule type="cellIs" dxfId="850" priority="242" stopIfTrue="1" operator="equal">
      <formula>"N/T"</formula>
    </cfRule>
    <cfRule type="cellIs" dxfId="849" priority="243" stopIfTrue="1" operator="equal">
      <formula>"N/D"</formula>
    </cfRule>
  </conditionalFormatting>
  <conditionalFormatting sqref="D1581:D1611">
    <cfRule type="cellIs" dxfId="848" priority="237" stopIfTrue="1" operator="equal">
      <formula>"-"</formula>
    </cfRule>
  </conditionalFormatting>
  <conditionalFormatting sqref="D1615:D1649">
    <cfRule type="expression" dxfId="847" priority="231" stopIfTrue="1">
      <formula>ISBLANK(D1615)</formula>
    </cfRule>
    <cfRule type="cellIs" dxfId="846" priority="232" stopIfTrue="1" operator="equal">
      <formula>"Pasa"</formula>
    </cfRule>
    <cfRule type="cellIs" dxfId="845" priority="233" stopIfTrue="1" operator="equal">
      <formula>"Falla"</formula>
    </cfRule>
    <cfRule type="cellIs" dxfId="844" priority="234" stopIfTrue="1" operator="equal">
      <formula>"N/A"</formula>
    </cfRule>
    <cfRule type="cellIs" dxfId="843" priority="235" stopIfTrue="1" operator="equal">
      <formula>"N/T"</formula>
    </cfRule>
    <cfRule type="cellIs" dxfId="842" priority="236" stopIfTrue="1" operator="equal">
      <formula>"N/D"</formula>
    </cfRule>
  </conditionalFormatting>
  <conditionalFormatting sqref="D1615:D1649">
    <cfRule type="cellIs" dxfId="841" priority="230" stopIfTrue="1" operator="equal">
      <formula>"-"</formula>
    </cfRule>
  </conditionalFormatting>
  <conditionalFormatting sqref="D1653:D1687">
    <cfRule type="expression" dxfId="840" priority="224" stopIfTrue="1">
      <formula>ISBLANK(D1653)</formula>
    </cfRule>
    <cfRule type="cellIs" dxfId="839" priority="225" stopIfTrue="1" operator="equal">
      <formula>"Pasa"</formula>
    </cfRule>
    <cfRule type="cellIs" dxfId="838" priority="226" stopIfTrue="1" operator="equal">
      <formula>"Falla"</formula>
    </cfRule>
    <cfRule type="cellIs" dxfId="837" priority="227" stopIfTrue="1" operator="equal">
      <formula>"N/A"</formula>
    </cfRule>
    <cfRule type="cellIs" dxfId="836" priority="228" stopIfTrue="1" operator="equal">
      <formula>"N/T"</formula>
    </cfRule>
    <cfRule type="cellIs" dxfId="835" priority="229" stopIfTrue="1" operator="equal">
      <formula>"N/D"</formula>
    </cfRule>
  </conditionalFormatting>
  <conditionalFormatting sqref="D1653:D1687">
    <cfRule type="cellIs" dxfId="834" priority="223" stopIfTrue="1" operator="equal">
      <formula>"-"</formula>
    </cfRule>
  </conditionalFormatting>
  <conditionalFormatting sqref="D1691:D1725">
    <cfRule type="expression" dxfId="833" priority="217" stopIfTrue="1">
      <formula>ISBLANK(D1691)</formula>
    </cfRule>
    <cfRule type="cellIs" dxfId="832" priority="218" stopIfTrue="1" operator="equal">
      <formula>"Pasa"</formula>
    </cfRule>
    <cfRule type="cellIs" dxfId="831" priority="219" stopIfTrue="1" operator="equal">
      <formula>"Falla"</formula>
    </cfRule>
    <cfRule type="cellIs" dxfId="830" priority="220" stopIfTrue="1" operator="equal">
      <formula>"N/A"</formula>
    </cfRule>
    <cfRule type="cellIs" dxfId="829" priority="221" stopIfTrue="1" operator="equal">
      <formula>"N/T"</formula>
    </cfRule>
    <cfRule type="cellIs" dxfId="828" priority="222" stopIfTrue="1" operator="equal">
      <formula>"N/D"</formula>
    </cfRule>
  </conditionalFormatting>
  <conditionalFormatting sqref="D1691:D1725">
    <cfRule type="cellIs" dxfId="827" priority="216" stopIfTrue="1" operator="equal">
      <formula>"-"</formula>
    </cfRule>
  </conditionalFormatting>
  <conditionalFormatting sqref="D1729:D1763">
    <cfRule type="expression" dxfId="826" priority="210" stopIfTrue="1">
      <formula>ISBLANK(D1729)</formula>
    </cfRule>
    <cfRule type="cellIs" dxfId="825" priority="211" stopIfTrue="1" operator="equal">
      <formula>"Pasa"</formula>
    </cfRule>
    <cfRule type="cellIs" dxfId="824" priority="212" stopIfTrue="1" operator="equal">
      <formula>"Falla"</formula>
    </cfRule>
    <cfRule type="cellIs" dxfId="823" priority="213" stopIfTrue="1" operator="equal">
      <formula>"N/A"</formula>
    </cfRule>
    <cfRule type="cellIs" dxfId="822" priority="214" stopIfTrue="1" operator="equal">
      <formula>"N/T"</formula>
    </cfRule>
    <cfRule type="cellIs" dxfId="821" priority="215" stopIfTrue="1" operator="equal">
      <formula>"N/D"</formula>
    </cfRule>
  </conditionalFormatting>
  <conditionalFormatting sqref="D1729:D1763">
    <cfRule type="cellIs" dxfId="820" priority="209" stopIfTrue="1" operator="equal">
      <formula>"-"</formula>
    </cfRule>
  </conditionalFormatting>
  <conditionalFormatting sqref="D1767:D1801">
    <cfRule type="expression" dxfId="819" priority="203" stopIfTrue="1">
      <formula>ISBLANK(D1767)</formula>
    </cfRule>
    <cfRule type="cellIs" dxfId="818" priority="204" stopIfTrue="1" operator="equal">
      <formula>"Pasa"</formula>
    </cfRule>
    <cfRule type="cellIs" dxfId="817" priority="205" stopIfTrue="1" operator="equal">
      <formula>"Falla"</formula>
    </cfRule>
    <cfRule type="cellIs" dxfId="816" priority="206" stopIfTrue="1" operator="equal">
      <formula>"N/A"</formula>
    </cfRule>
    <cfRule type="cellIs" dxfId="815" priority="207" stopIfTrue="1" operator="equal">
      <formula>"N/T"</formula>
    </cfRule>
    <cfRule type="cellIs" dxfId="814" priority="208" stopIfTrue="1" operator="equal">
      <formula>"N/D"</formula>
    </cfRule>
  </conditionalFormatting>
  <conditionalFormatting sqref="D1767:D1801">
    <cfRule type="cellIs" dxfId="813" priority="202" stopIfTrue="1" operator="equal">
      <formula>"-"</formula>
    </cfRule>
  </conditionalFormatting>
  <conditionalFormatting sqref="D1805:D1839">
    <cfRule type="expression" dxfId="812" priority="196" stopIfTrue="1">
      <formula>ISBLANK(D1805)</formula>
    </cfRule>
    <cfRule type="cellIs" dxfId="811" priority="197" stopIfTrue="1" operator="equal">
      <formula>"Pasa"</formula>
    </cfRule>
    <cfRule type="cellIs" dxfId="810" priority="198" stopIfTrue="1" operator="equal">
      <formula>"Falla"</formula>
    </cfRule>
    <cfRule type="cellIs" dxfId="809" priority="199" stopIfTrue="1" operator="equal">
      <formula>"N/A"</formula>
    </cfRule>
    <cfRule type="cellIs" dxfId="808" priority="200" stopIfTrue="1" operator="equal">
      <formula>"N/T"</formula>
    </cfRule>
    <cfRule type="cellIs" dxfId="807" priority="201" stopIfTrue="1" operator="equal">
      <formula>"N/D"</formula>
    </cfRule>
  </conditionalFormatting>
  <conditionalFormatting sqref="D1805:D1839">
    <cfRule type="cellIs" dxfId="806" priority="195" stopIfTrue="1" operator="equal">
      <formula>"-"</formula>
    </cfRule>
  </conditionalFormatting>
  <conditionalFormatting sqref="D1843:D1877">
    <cfRule type="expression" dxfId="805" priority="189" stopIfTrue="1">
      <formula>ISBLANK(D1843)</formula>
    </cfRule>
    <cfRule type="cellIs" dxfId="804" priority="190" stopIfTrue="1" operator="equal">
      <formula>"Pasa"</formula>
    </cfRule>
    <cfRule type="cellIs" dxfId="803" priority="191" stopIfTrue="1" operator="equal">
      <formula>"Falla"</formula>
    </cfRule>
    <cfRule type="cellIs" dxfId="802" priority="192" stopIfTrue="1" operator="equal">
      <formula>"N/A"</formula>
    </cfRule>
    <cfRule type="cellIs" dxfId="801" priority="193" stopIfTrue="1" operator="equal">
      <formula>"N/T"</formula>
    </cfRule>
    <cfRule type="cellIs" dxfId="800" priority="194" stopIfTrue="1" operator="equal">
      <formula>"N/D"</formula>
    </cfRule>
  </conditionalFormatting>
  <conditionalFormatting sqref="D1843:D1877">
    <cfRule type="cellIs" dxfId="799" priority="188" stopIfTrue="1" operator="equal">
      <formula>"-"</formula>
    </cfRule>
  </conditionalFormatting>
  <conditionalFormatting sqref="K23">
    <cfRule type="expression" dxfId="798" priority="182" stopIfTrue="1">
      <formula>ISBLANK(K23)</formula>
    </cfRule>
    <cfRule type="cellIs" dxfId="797" priority="183" stopIfTrue="1" operator="equal">
      <formula>"Pasa"</formula>
    </cfRule>
    <cfRule type="cellIs" dxfId="796" priority="184" stopIfTrue="1" operator="equal">
      <formula>"Falla"</formula>
    </cfRule>
    <cfRule type="cellIs" dxfId="795" priority="185" stopIfTrue="1" operator="equal">
      <formula>"N/A"</formula>
    </cfRule>
    <cfRule type="cellIs" dxfId="794" priority="186" stopIfTrue="1" operator="equal">
      <formula>"N/T"</formula>
    </cfRule>
    <cfRule type="cellIs" dxfId="793" priority="187" stopIfTrue="1" operator="equal">
      <formula>"N/D"</formula>
    </cfRule>
  </conditionalFormatting>
  <conditionalFormatting sqref="K24">
    <cfRule type="expression" dxfId="792" priority="176" stopIfTrue="1">
      <formula>ISBLANK(K24)</formula>
    </cfRule>
    <cfRule type="cellIs" dxfId="791" priority="177" stopIfTrue="1" operator="equal">
      <formula>"Pasa"</formula>
    </cfRule>
    <cfRule type="cellIs" dxfId="790" priority="178" stopIfTrue="1" operator="equal">
      <formula>"Falla"</formula>
    </cfRule>
    <cfRule type="cellIs" dxfId="789" priority="179" stopIfTrue="1" operator="equal">
      <formula>"N/A"</formula>
    </cfRule>
    <cfRule type="cellIs" dxfId="788" priority="180" stopIfTrue="1" operator="equal">
      <formula>"N/T"</formula>
    </cfRule>
    <cfRule type="cellIs" dxfId="787" priority="181" stopIfTrue="1" operator="equal">
      <formula>"N/D"</formula>
    </cfRule>
  </conditionalFormatting>
  <conditionalFormatting sqref="E1881:E1915">
    <cfRule type="cellIs" dxfId="786" priority="169" stopIfTrue="1" operator="equal">
      <formula>"ERR"</formula>
    </cfRule>
  </conditionalFormatting>
  <conditionalFormatting sqref="D1881:D1915">
    <cfRule type="expression" dxfId="785" priority="163" stopIfTrue="1">
      <formula>ISBLANK(D1881)</formula>
    </cfRule>
    <cfRule type="cellIs" dxfId="784" priority="164" stopIfTrue="1" operator="equal">
      <formula>"Pasa"</formula>
    </cfRule>
    <cfRule type="cellIs" dxfId="783" priority="165" stopIfTrue="1" operator="equal">
      <formula>"Falla"</formula>
    </cfRule>
    <cfRule type="cellIs" dxfId="782" priority="166" stopIfTrue="1" operator="equal">
      <formula>"N/A"</formula>
    </cfRule>
    <cfRule type="cellIs" dxfId="781" priority="167" stopIfTrue="1" operator="equal">
      <formula>"N/T"</formula>
    </cfRule>
    <cfRule type="cellIs" dxfId="780" priority="168" stopIfTrue="1" operator="equal">
      <formula>"N/D"</formula>
    </cfRule>
  </conditionalFormatting>
  <conditionalFormatting sqref="D1881:D1915">
    <cfRule type="cellIs" dxfId="779" priority="162" stopIfTrue="1" operator="equal">
      <formula>"-"</formula>
    </cfRule>
  </conditionalFormatting>
  <conditionalFormatting sqref="D95:D97">
    <cfRule type="expression" dxfId="778" priority="156" stopIfTrue="1">
      <formula>ISBLANK(D95)</formula>
    </cfRule>
    <cfRule type="cellIs" dxfId="777" priority="157" stopIfTrue="1" operator="equal">
      <formula>"Pasa"</formula>
    </cfRule>
    <cfRule type="cellIs" dxfId="776" priority="158" stopIfTrue="1" operator="equal">
      <formula>"Falla"</formula>
    </cfRule>
    <cfRule type="cellIs" dxfId="775" priority="159" stopIfTrue="1" operator="equal">
      <formula>"N/A"</formula>
    </cfRule>
    <cfRule type="cellIs" dxfId="774" priority="160" stopIfTrue="1" operator="equal">
      <formula>"N/T"</formula>
    </cfRule>
    <cfRule type="cellIs" dxfId="773" priority="161" stopIfTrue="1" operator="equal">
      <formula>"N/D"</formula>
    </cfRule>
  </conditionalFormatting>
  <conditionalFormatting sqref="D95:D97">
    <cfRule type="cellIs" dxfId="772" priority="155" stopIfTrue="1" operator="equal">
      <formula>"-"</formula>
    </cfRule>
  </conditionalFormatting>
  <conditionalFormatting sqref="D133:D135">
    <cfRule type="expression" dxfId="771" priority="149" stopIfTrue="1">
      <formula>ISBLANK(D133)</formula>
    </cfRule>
    <cfRule type="cellIs" dxfId="770" priority="150" stopIfTrue="1" operator="equal">
      <formula>"Pasa"</formula>
    </cfRule>
    <cfRule type="cellIs" dxfId="769" priority="151" stopIfTrue="1" operator="equal">
      <formula>"Falla"</formula>
    </cfRule>
    <cfRule type="cellIs" dxfId="768" priority="152" stopIfTrue="1" operator="equal">
      <formula>"N/A"</formula>
    </cfRule>
    <cfRule type="cellIs" dxfId="767" priority="153" stopIfTrue="1" operator="equal">
      <formula>"N/T"</formula>
    </cfRule>
    <cfRule type="cellIs" dxfId="766" priority="154" stopIfTrue="1" operator="equal">
      <formula>"N/D"</formula>
    </cfRule>
  </conditionalFormatting>
  <conditionalFormatting sqref="D133:D135">
    <cfRule type="cellIs" dxfId="765" priority="148" stopIfTrue="1" operator="equal">
      <formula>"-"</formula>
    </cfRule>
  </conditionalFormatting>
  <conditionalFormatting sqref="D171:D173">
    <cfRule type="expression" dxfId="764" priority="142" stopIfTrue="1">
      <formula>ISBLANK(D171)</formula>
    </cfRule>
    <cfRule type="cellIs" dxfId="763" priority="143" stopIfTrue="1" operator="equal">
      <formula>"Pasa"</formula>
    </cfRule>
    <cfRule type="cellIs" dxfId="762" priority="144" stopIfTrue="1" operator="equal">
      <formula>"Falla"</formula>
    </cfRule>
    <cfRule type="cellIs" dxfId="761" priority="145" stopIfTrue="1" operator="equal">
      <formula>"N/A"</formula>
    </cfRule>
    <cfRule type="cellIs" dxfId="760" priority="146" stopIfTrue="1" operator="equal">
      <formula>"N/T"</formula>
    </cfRule>
    <cfRule type="cellIs" dxfId="759" priority="147" stopIfTrue="1" operator="equal">
      <formula>"N/D"</formula>
    </cfRule>
  </conditionalFormatting>
  <conditionalFormatting sqref="D171:D173">
    <cfRule type="cellIs" dxfId="758" priority="141" stopIfTrue="1" operator="equal">
      <formula>"-"</formula>
    </cfRule>
  </conditionalFormatting>
  <conditionalFormatting sqref="D285:D287">
    <cfRule type="expression" dxfId="757" priority="135" stopIfTrue="1">
      <formula>ISBLANK(D285)</formula>
    </cfRule>
    <cfRule type="cellIs" dxfId="756" priority="136" stopIfTrue="1" operator="equal">
      <formula>"Pasa"</formula>
    </cfRule>
    <cfRule type="cellIs" dxfId="755" priority="137" stopIfTrue="1" operator="equal">
      <formula>"Falla"</formula>
    </cfRule>
    <cfRule type="cellIs" dxfId="754" priority="138" stopIfTrue="1" operator="equal">
      <formula>"N/A"</formula>
    </cfRule>
    <cfRule type="cellIs" dxfId="753" priority="139" stopIfTrue="1" operator="equal">
      <formula>"N/T"</formula>
    </cfRule>
    <cfRule type="cellIs" dxfId="752" priority="140" stopIfTrue="1" operator="equal">
      <formula>"N/D"</formula>
    </cfRule>
  </conditionalFormatting>
  <conditionalFormatting sqref="D285:D287">
    <cfRule type="cellIs" dxfId="751" priority="134" stopIfTrue="1" operator="equal">
      <formula>"-"</formula>
    </cfRule>
  </conditionalFormatting>
  <conditionalFormatting sqref="D361:D363">
    <cfRule type="expression" dxfId="750" priority="128" stopIfTrue="1">
      <formula>ISBLANK(D361)</formula>
    </cfRule>
    <cfRule type="cellIs" dxfId="749" priority="129" stopIfTrue="1" operator="equal">
      <formula>"Pasa"</formula>
    </cfRule>
    <cfRule type="cellIs" dxfId="748" priority="130" stopIfTrue="1" operator="equal">
      <formula>"Falla"</formula>
    </cfRule>
    <cfRule type="cellIs" dxfId="747" priority="131" stopIfTrue="1" operator="equal">
      <formula>"N/A"</formula>
    </cfRule>
    <cfRule type="cellIs" dxfId="746" priority="132" stopIfTrue="1" operator="equal">
      <formula>"N/T"</formula>
    </cfRule>
    <cfRule type="cellIs" dxfId="745" priority="133" stopIfTrue="1" operator="equal">
      <formula>"N/D"</formula>
    </cfRule>
  </conditionalFormatting>
  <conditionalFormatting sqref="D361:D363">
    <cfRule type="cellIs" dxfId="744" priority="127" stopIfTrue="1" operator="equal">
      <formula>"-"</formula>
    </cfRule>
  </conditionalFormatting>
  <conditionalFormatting sqref="D476:D477">
    <cfRule type="expression" dxfId="743" priority="121" stopIfTrue="1">
      <formula>ISBLANK(D476)</formula>
    </cfRule>
    <cfRule type="cellIs" dxfId="742" priority="122" stopIfTrue="1" operator="equal">
      <formula>"Pasa"</formula>
    </cfRule>
    <cfRule type="cellIs" dxfId="741" priority="123" stopIfTrue="1" operator="equal">
      <formula>"Falla"</formula>
    </cfRule>
    <cfRule type="cellIs" dxfId="740" priority="124" stopIfTrue="1" operator="equal">
      <formula>"N/A"</formula>
    </cfRule>
    <cfRule type="cellIs" dxfId="739" priority="125" stopIfTrue="1" operator="equal">
      <formula>"N/T"</formula>
    </cfRule>
    <cfRule type="cellIs" dxfId="738" priority="126" stopIfTrue="1" operator="equal">
      <formula>"N/D"</formula>
    </cfRule>
  </conditionalFormatting>
  <conditionalFormatting sqref="D476:D477">
    <cfRule type="cellIs" dxfId="737" priority="120" stopIfTrue="1" operator="equal">
      <formula>"-"</formula>
    </cfRule>
  </conditionalFormatting>
  <conditionalFormatting sqref="D589">
    <cfRule type="expression" dxfId="736" priority="114" stopIfTrue="1">
      <formula>ISBLANK(D589)</formula>
    </cfRule>
    <cfRule type="cellIs" dxfId="735" priority="115" stopIfTrue="1" operator="equal">
      <formula>"Pasa"</formula>
    </cfRule>
    <cfRule type="cellIs" dxfId="734" priority="116" stopIfTrue="1" operator="equal">
      <formula>"Falla"</formula>
    </cfRule>
    <cfRule type="cellIs" dxfId="733" priority="117" stopIfTrue="1" operator="equal">
      <formula>"N/A"</formula>
    </cfRule>
    <cfRule type="cellIs" dxfId="732" priority="118" stopIfTrue="1" operator="equal">
      <formula>"N/T"</formula>
    </cfRule>
    <cfRule type="cellIs" dxfId="731" priority="119" stopIfTrue="1" operator="equal">
      <formula>"N/D"</formula>
    </cfRule>
  </conditionalFormatting>
  <conditionalFormatting sqref="D589">
    <cfRule type="cellIs" dxfId="730" priority="113" stopIfTrue="1" operator="equal">
      <formula>"-"</formula>
    </cfRule>
  </conditionalFormatting>
  <conditionalFormatting sqref="D590:D591">
    <cfRule type="expression" dxfId="729" priority="107" stopIfTrue="1">
      <formula>ISBLANK(D590)</formula>
    </cfRule>
    <cfRule type="cellIs" dxfId="728" priority="108" stopIfTrue="1" operator="equal">
      <formula>"Pasa"</formula>
    </cfRule>
    <cfRule type="cellIs" dxfId="727" priority="109" stopIfTrue="1" operator="equal">
      <formula>"Falla"</formula>
    </cfRule>
    <cfRule type="cellIs" dxfId="726" priority="110" stopIfTrue="1" operator="equal">
      <formula>"N/A"</formula>
    </cfRule>
    <cfRule type="cellIs" dxfId="725" priority="111" stopIfTrue="1" operator="equal">
      <formula>"N/T"</formula>
    </cfRule>
    <cfRule type="cellIs" dxfId="724" priority="112" stopIfTrue="1" operator="equal">
      <formula>"N/D"</formula>
    </cfRule>
  </conditionalFormatting>
  <conditionalFormatting sqref="D590:D591">
    <cfRule type="cellIs" dxfId="723" priority="106" stopIfTrue="1" operator="equal">
      <formula>"-"</formula>
    </cfRule>
  </conditionalFormatting>
  <conditionalFormatting sqref="D98">
    <cfRule type="expression" dxfId="722" priority="100" stopIfTrue="1">
      <formula>ISBLANK(D98)</formula>
    </cfRule>
    <cfRule type="cellIs" dxfId="721" priority="101" stopIfTrue="1" operator="equal">
      <formula>"Pasa"</formula>
    </cfRule>
    <cfRule type="cellIs" dxfId="720" priority="102" stopIfTrue="1" operator="equal">
      <formula>"Falla"</formula>
    </cfRule>
    <cfRule type="cellIs" dxfId="719" priority="103" stopIfTrue="1" operator="equal">
      <formula>"N/A"</formula>
    </cfRule>
    <cfRule type="cellIs" dxfId="718" priority="104" stopIfTrue="1" operator="equal">
      <formula>"N/T"</formula>
    </cfRule>
    <cfRule type="cellIs" dxfId="717" priority="105" stopIfTrue="1" operator="equal">
      <formula>"N/D"</formula>
    </cfRule>
  </conditionalFormatting>
  <conditionalFormatting sqref="D98">
    <cfRule type="cellIs" dxfId="716" priority="99" stopIfTrue="1" operator="equal">
      <formula>"-"</formula>
    </cfRule>
  </conditionalFormatting>
  <conditionalFormatting sqref="D136">
    <cfRule type="expression" dxfId="715" priority="93" stopIfTrue="1">
      <formula>ISBLANK(D136)</formula>
    </cfRule>
    <cfRule type="cellIs" dxfId="714" priority="94" stopIfTrue="1" operator="equal">
      <formula>"Pasa"</formula>
    </cfRule>
    <cfRule type="cellIs" dxfId="713" priority="95" stopIfTrue="1" operator="equal">
      <formula>"Falla"</formula>
    </cfRule>
    <cfRule type="cellIs" dxfId="712" priority="96" stopIfTrue="1" operator="equal">
      <formula>"N/A"</formula>
    </cfRule>
    <cfRule type="cellIs" dxfId="711" priority="97" stopIfTrue="1" operator="equal">
      <formula>"N/T"</formula>
    </cfRule>
    <cfRule type="cellIs" dxfId="710" priority="98" stopIfTrue="1" operator="equal">
      <formula>"N/D"</formula>
    </cfRule>
  </conditionalFormatting>
  <conditionalFormatting sqref="D136">
    <cfRule type="cellIs" dxfId="709" priority="92" stopIfTrue="1" operator="equal">
      <formula>"-"</formula>
    </cfRule>
  </conditionalFormatting>
  <conditionalFormatting sqref="D174">
    <cfRule type="expression" dxfId="708" priority="86" stopIfTrue="1">
      <formula>ISBLANK(D174)</formula>
    </cfRule>
    <cfRule type="cellIs" dxfId="707" priority="87" stopIfTrue="1" operator="equal">
      <formula>"Pasa"</formula>
    </cfRule>
    <cfRule type="cellIs" dxfId="706" priority="88" stopIfTrue="1" operator="equal">
      <formula>"Falla"</formula>
    </cfRule>
    <cfRule type="cellIs" dxfId="705" priority="89" stopIfTrue="1" operator="equal">
      <formula>"N/A"</formula>
    </cfRule>
    <cfRule type="cellIs" dxfId="704" priority="90" stopIfTrue="1" operator="equal">
      <formula>"N/T"</formula>
    </cfRule>
    <cfRule type="cellIs" dxfId="703" priority="91" stopIfTrue="1" operator="equal">
      <formula>"N/D"</formula>
    </cfRule>
  </conditionalFormatting>
  <conditionalFormatting sqref="D174">
    <cfRule type="cellIs" dxfId="702" priority="85" stopIfTrue="1" operator="equal">
      <formula>"-"</formula>
    </cfRule>
  </conditionalFormatting>
  <conditionalFormatting sqref="D288">
    <cfRule type="expression" dxfId="701" priority="79" stopIfTrue="1">
      <formula>ISBLANK(D288)</formula>
    </cfRule>
    <cfRule type="cellIs" dxfId="700" priority="80" stopIfTrue="1" operator="equal">
      <formula>"Pasa"</formula>
    </cfRule>
    <cfRule type="cellIs" dxfId="699" priority="81" stopIfTrue="1" operator="equal">
      <formula>"Falla"</formula>
    </cfRule>
    <cfRule type="cellIs" dxfId="698" priority="82" stopIfTrue="1" operator="equal">
      <formula>"N/A"</formula>
    </cfRule>
    <cfRule type="cellIs" dxfId="697" priority="83" stopIfTrue="1" operator="equal">
      <formula>"N/T"</formula>
    </cfRule>
    <cfRule type="cellIs" dxfId="696" priority="84" stopIfTrue="1" operator="equal">
      <formula>"N/D"</formula>
    </cfRule>
  </conditionalFormatting>
  <conditionalFormatting sqref="D288">
    <cfRule type="cellIs" dxfId="695" priority="78" stopIfTrue="1" operator="equal">
      <formula>"-"</formula>
    </cfRule>
  </conditionalFormatting>
  <conditionalFormatting sqref="D364">
    <cfRule type="expression" dxfId="694" priority="72" stopIfTrue="1">
      <formula>ISBLANK(D364)</formula>
    </cfRule>
    <cfRule type="cellIs" dxfId="693" priority="73" stopIfTrue="1" operator="equal">
      <formula>"Pasa"</formula>
    </cfRule>
    <cfRule type="cellIs" dxfId="692" priority="74" stopIfTrue="1" operator="equal">
      <formula>"Falla"</formula>
    </cfRule>
    <cfRule type="cellIs" dxfId="691" priority="75" stopIfTrue="1" operator="equal">
      <formula>"N/A"</formula>
    </cfRule>
    <cfRule type="cellIs" dxfId="690" priority="76" stopIfTrue="1" operator="equal">
      <formula>"N/T"</formula>
    </cfRule>
    <cfRule type="cellIs" dxfId="689" priority="77" stopIfTrue="1" operator="equal">
      <formula>"N/D"</formula>
    </cfRule>
  </conditionalFormatting>
  <conditionalFormatting sqref="D364">
    <cfRule type="cellIs" dxfId="688" priority="71" stopIfTrue="1" operator="equal">
      <formula>"-"</formula>
    </cfRule>
  </conditionalFormatting>
  <conditionalFormatting sqref="D592">
    <cfRule type="expression" dxfId="687" priority="65" stopIfTrue="1">
      <formula>ISBLANK(D592)</formula>
    </cfRule>
    <cfRule type="cellIs" dxfId="686" priority="66" stopIfTrue="1" operator="equal">
      <formula>"Pasa"</formula>
    </cfRule>
    <cfRule type="cellIs" dxfId="685" priority="67" stopIfTrue="1" operator="equal">
      <formula>"Falla"</formula>
    </cfRule>
    <cfRule type="cellIs" dxfId="684" priority="68" stopIfTrue="1" operator="equal">
      <formula>"N/A"</formula>
    </cfRule>
    <cfRule type="cellIs" dxfId="683" priority="69" stopIfTrue="1" operator="equal">
      <formula>"N/T"</formula>
    </cfRule>
    <cfRule type="cellIs" dxfId="682" priority="70" stopIfTrue="1" operator="equal">
      <formula>"N/D"</formula>
    </cfRule>
  </conditionalFormatting>
  <conditionalFormatting sqref="D592">
    <cfRule type="cellIs" dxfId="681" priority="64" stopIfTrue="1" operator="equal">
      <formula>"-"</formula>
    </cfRule>
  </conditionalFormatting>
  <conditionalFormatting sqref="D666:D668">
    <cfRule type="expression" dxfId="680" priority="58" stopIfTrue="1">
      <formula>ISBLANK(D666)</formula>
    </cfRule>
    <cfRule type="cellIs" dxfId="679" priority="59" stopIfTrue="1" operator="equal">
      <formula>"Pasa"</formula>
    </cfRule>
    <cfRule type="cellIs" dxfId="678" priority="60" stopIfTrue="1" operator="equal">
      <formula>"Falla"</formula>
    </cfRule>
    <cfRule type="cellIs" dxfId="677" priority="61" stopIfTrue="1" operator="equal">
      <formula>"N/A"</formula>
    </cfRule>
    <cfRule type="cellIs" dxfId="676" priority="62" stopIfTrue="1" operator="equal">
      <formula>"N/T"</formula>
    </cfRule>
    <cfRule type="cellIs" dxfId="675" priority="63" stopIfTrue="1" operator="equal">
      <formula>"N/D"</formula>
    </cfRule>
  </conditionalFormatting>
  <conditionalFormatting sqref="D666:D668">
    <cfRule type="cellIs" dxfId="674" priority="57" stopIfTrue="1" operator="equal">
      <formula>"-"</formula>
    </cfRule>
  </conditionalFormatting>
  <conditionalFormatting sqref="D780:D782">
    <cfRule type="expression" dxfId="673" priority="51" stopIfTrue="1">
      <formula>ISBLANK(D780)</formula>
    </cfRule>
    <cfRule type="cellIs" dxfId="672" priority="52" stopIfTrue="1" operator="equal">
      <formula>"Pasa"</formula>
    </cfRule>
    <cfRule type="cellIs" dxfId="671" priority="53" stopIfTrue="1" operator="equal">
      <formula>"Falla"</formula>
    </cfRule>
    <cfRule type="cellIs" dxfId="670" priority="54" stopIfTrue="1" operator="equal">
      <formula>"N/A"</formula>
    </cfRule>
    <cfRule type="cellIs" dxfId="669" priority="55" stopIfTrue="1" operator="equal">
      <formula>"N/T"</formula>
    </cfRule>
    <cfRule type="cellIs" dxfId="668" priority="56" stopIfTrue="1" operator="equal">
      <formula>"N/D"</formula>
    </cfRule>
  </conditionalFormatting>
  <conditionalFormatting sqref="D780:D782">
    <cfRule type="cellIs" dxfId="667" priority="50" stopIfTrue="1" operator="equal">
      <formula>"-"</formula>
    </cfRule>
  </conditionalFormatting>
  <conditionalFormatting sqref="D894:D896">
    <cfRule type="expression" dxfId="666" priority="44" stopIfTrue="1">
      <formula>ISBLANK(D894)</formula>
    </cfRule>
    <cfRule type="cellIs" dxfId="665" priority="45" stopIfTrue="1" operator="equal">
      <formula>"Pasa"</formula>
    </cfRule>
    <cfRule type="cellIs" dxfId="664" priority="46" stopIfTrue="1" operator="equal">
      <formula>"Falla"</formula>
    </cfRule>
    <cfRule type="cellIs" dxfId="663" priority="47" stopIfTrue="1" operator="equal">
      <formula>"N/A"</formula>
    </cfRule>
    <cfRule type="cellIs" dxfId="662" priority="48" stopIfTrue="1" operator="equal">
      <formula>"N/T"</formula>
    </cfRule>
    <cfRule type="cellIs" dxfId="661" priority="49" stopIfTrue="1" operator="equal">
      <formula>"N/D"</formula>
    </cfRule>
  </conditionalFormatting>
  <conditionalFormatting sqref="D894:D896">
    <cfRule type="cellIs" dxfId="660" priority="43" stopIfTrue="1" operator="equal">
      <formula>"-"</formula>
    </cfRule>
  </conditionalFormatting>
  <conditionalFormatting sqref="D970:D972">
    <cfRule type="expression" dxfId="659" priority="37" stopIfTrue="1">
      <formula>ISBLANK(D970)</formula>
    </cfRule>
    <cfRule type="cellIs" dxfId="658" priority="38" stopIfTrue="1" operator="equal">
      <formula>"Pasa"</formula>
    </cfRule>
    <cfRule type="cellIs" dxfId="657" priority="39" stopIfTrue="1" operator="equal">
      <formula>"Falla"</formula>
    </cfRule>
    <cfRule type="cellIs" dxfId="656" priority="40" stopIfTrue="1" operator="equal">
      <formula>"N/A"</formula>
    </cfRule>
    <cfRule type="cellIs" dxfId="655" priority="41" stopIfTrue="1" operator="equal">
      <formula>"N/T"</formula>
    </cfRule>
    <cfRule type="cellIs" dxfId="654" priority="42" stopIfTrue="1" operator="equal">
      <formula>"N/D"</formula>
    </cfRule>
  </conditionalFormatting>
  <conditionalFormatting sqref="D970:D972">
    <cfRule type="cellIs" dxfId="653" priority="36" stopIfTrue="1" operator="equal">
      <formula>"-"</formula>
    </cfRule>
  </conditionalFormatting>
  <conditionalFormatting sqref="D1046:D1048">
    <cfRule type="expression" dxfId="652" priority="30" stopIfTrue="1">
      <formula>ISBLANK(D1046)</formula>
    </cfRule>
    <cfRule type="cellIs" dxfId="651" priority="31" stopIfTrue="1" operator="equal">
      <formula>"Pasa"</formula>
    </cfRule>
    <cfRule type="cellIs" dxfId="650" priority="32" stopIfTrue="1" operator="equal">
      <formula>"Falla"</formula>
    </cfRule>
    <cfRule type="cellIs" dxfId="649" priority="33" stopIfTrue="1" operator="equal">
      <formula>"N/A"</formula>
    </cfRule>
    <cfRule type="cellIs" dxfId="648" priority="34" stopIfTrue="1" operator="equal">
      <formula>"N/T"</formula>
    </cfRule>
    <cfRule type="cellIs" dxfId="647" priority="35" stopIfTrue="1" operator="equal">
      <formula>"N/D"</formula>
    </cfRule>
  </conditionalFormatting>
  <conditionalFormatting sqref="D1046:D1048">
    <cfRule type="cellIs" dxfId="646" priority="29" stopIfTrue="1" operator="equal">
      <formula>"-"</formula>
    </cfRule>
  </conditionalFormatting>
  <conditionalFormatting sqref="D1274:D1276">
    <cfRule type="expression" dxfId="645" priority="23" stopIfTrue="1">
      <formula>ISBLANK(D1274)</formula>
    </cfRule>
    <cfRule type="cellIs" dxfId="644" priority="24" stopIfTrue="1" operator="equal">
      <formula>"Pasa"</formula>
    </cfRule>
    <cfRule type="cellIs" dxfId="643" priority="25" stopIfTrue="1" operator="equal">
      <formula>"Falla"</formula>
    </cfRule>
    <cfRule type="cellIs" dxfId="642" priority="26" stopIfTrue="1" operator="equal">
      <formula>"N/A"</formula>
    </cfRule>
    <cfRule type="cellIs" dxfId="641" priority="27" stopIfTrue="1" operator="equal">
      <formula>"N/T"</formula>
    </cfRule>
    <cfRule type="cellIs" dxfId="640" priority="28" stopIfTrue="1" operator="equal">
      <formula>"N/D"</formula>
    </cfRule>
  </conditionalFormatting>
  <conditionalFormatting sqref="D1274:D1276">
    <cfRule type="cellIs" dxfId="639" priority="22" stopIfTrue="1" operator="equal">
      <formula>"-"</formula>
    </cfRule>
  </conditionalFormatting>
  <conditionalFormatting sqref="D1501:D1504">
    <cfRule type="expression" dxfId="638" priority="16" stopIfTrue="1">
      <formula>ISBLANK(D1501)</formula>
    </cfRule>
    <cfRule type="cellIs" dxfId="637" priority="17" stopIfTrue="1" operator="equal">
      <formula>"Pasa"</formula>
    </cfRule>
    <cfRule type="cellIs" dxfId="636" priority="18" stopIfTrue="1" operator="equal">
      <formula>"Falla"</formula>
    </cfRule>
    <cfRule type="cellIs" dxfId="635" priority="19" stopIfTrue="1" operator="equal">
      <formula>"N/A"</formula>
    </cfRule>
    <cfRule type="cellIs" dxfId="634" priority="20" stopIfTrue="1" operator="equal">
      <formula>"N/T"</formula>
    </cfRule>
    <cfRule type="cellIs" dxfId="633" priority="21" stopIfTrue="1" operator="equal">
      <formula>"N/D"</formula>
    </cfRule>
  </conditionalFormatting>
  <conditionalFormatting sqref="D1501:D1504">
    <cfRule type="cellIs" dxfId="632" priority="15" stopIfTrue="1" operator="equal">
      <formula>"-"</formula>
    </cfRule>
  </conditionalFormatting>
  <conditionalFormatting sqref="D1539:D1542">
    <cfRule type="expression" dxfId="631" priority="9" stopIfTrue="1">
      <formula>ISBLANK(D1539)</formula>
    </cfRule>
    <cfRule type="cellIs" dxfId="630" priority="10" stopIfTrue="1" operator="equal">
      <formula>"Pasa"</formula>
    </cfRule>
    <cfRule type="cellIs" dxfId="629" priority="11" stopIfTrue="1" operator="equal">
      <formula>"Falla"</formula>
    </cfRule>
    <cfRule type="cellIs" dxfId="628" priority="12" stopIfTrue="1" operator="equal">
      <formula>"N/A"</formula>
    </cfRule>
    <cfRule type="cellIs" dxfId="627" priority="13" stopIfTrue="1" operator="equal">
      <formula>"N/T"</formula>
    </cfRule>
    <cfRule type="cellIs" dxfId="626" priority="14" stopIfTrue="1" operator="equal">
      <formula>"N/D"</formula>
    </cfRule>
  </conditionalFormatting>
  <conditionalFormatting sqref="D1539:D1542">
    <cfRule type="cellIs" dxfId="625" priority="8" stopIfTrue="1" operator="equal">
      <formula>"-"</formula>
    </cfRule>
  </conditionalFormatting>
  <conditionalFormatting sqref="D1577:D1580">
    <cfRule type="expression" dxfId="624" priority="2" stopIfTrue="1">
      <formula>ISBLANK(D1577)</formula>
    </cfRule>
    <cfRule type="cellIs" dxfId="623" priority="3" stopIfTrue="1" operator="equal">
      <formula>"Pasa"</formula>
    </cfRule>
    <cfRule type="cellIs" dxfId="622" priority="4" stopIfTrue="1" operator="equal">
      <formula>"Falla"</formula>
    </cfRule>
    <cfRule type="cellIs" dxfId="621" priority="5" stopIfTrue="1" operator="equal">
      <formula>"N/A"</formula>
    </cfRule>
    <cfRule type="cellIs" dxfId="620" priority="6" stopIfTrue="1" operator="equal">
      <formula>"N/T"</formula>
    </cfRule>
    <cfRule type="cellIs" dxfId="619" priority="7" stopIfTrue="1" operator="equal">
      <formula>"N/D"</formula>
    </cfRule>
  </conditionalFormatting>
  <conditionalFormatting sqref="D1577:D1580">
    <cfRule type="cellIs" dxfId="618"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topLeftCell="A4" zoomScale="90" zoomScaleNormal="90" workbookViewId="0">
      <selection activeCell="N2" sqref="N2"/>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9.81640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5" customHeight="1">
      <c r="B7" s="19"/>
      <c r="C7" s="19"/>
      <c r="D7" s="19"/>
      <c r="E7" s="107"/>
      <c r="F7" s="19"/>
      <c r="G7" s="19"/>
      <c r="H7" s="19"/>
      <c r="I7" s="19"/>
      <c r="J7" s="19"/>
      <c r="K7" s="19"/>
      <c r="L7" s="19"/>
      <c r="M7" s="19"/>
      <c r="N7" s="19"/>
      <c r="O7" s="19"/>
    </row>
    <row r="8" spans="1:64" ht="19" customHeight="1">
      <c r="B8" s="266" t="s">
        <v>271</v>
      </c>
      <c r="C8" s="266"/>
      <c r="D8" s="266"/>
      <c r="E8" s="266"/>
      <c r="F8" s="266"/>
      <c r="G8" s="266"/>
      <c r="H8" s="266"/>
      <c r="I8" s="266"/>
      <c r="J8" s="266"/>
      <c r="K8" s="266"/>
      <c r="L8" s="266"/>
      <c r="M8" s="266"/>
      <c r="N8" s="19"/>
      <c r="O8" s="19"/>
    </row>
    <row r="9" spans="1:64" ht="24" customHeight="1">
      <c r="B9" s="265" t="s">
        <v>472</v>
      </c>
      <c r="C9" s="265"/>
      <c r="D9" s="265"/>
      <c r="E9" s="265"/>
      <c r="F9" s="265"/>
      <c r="G9" s="265"/>
      <c r="H9" s="265"/>
      <c r="I9" s="265"/>
      <c r="J9" s="265"/>
      <c r="K9" s="265"/>
      <c r="L9" s="265"/>
      <c r="M9" s="265"/>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3" t="s">
        <v>152</v>
      </c>
      <c r="C11" s="264"/>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5"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5"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5"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5"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5"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5"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5"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5"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5"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5"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5"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5"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5"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5"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5"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5"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5"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5"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5"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5"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5"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5"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5"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5"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5"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5"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5"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5"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5"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5"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5"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5"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5"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5"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5"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5"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5"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5"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5"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5"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5"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5"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5"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5"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5"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5"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5"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5"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5"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5"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5"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5"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5"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5"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5"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5"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5"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5"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5"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5"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5"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5"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5"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5"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5"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5"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5"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5"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5"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5"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5"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5"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5"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5"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5"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5"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5"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5"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5"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5"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5"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5"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5"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5"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5"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5"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5"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5"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5"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5"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5"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5"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5"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5"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5"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5"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5"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5"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5"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5"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5"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5"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5"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5"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5"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5">
      <c r="B1613" s="19"/>
      <c r="C1613" s="19"/>
      <c r="D1613" s="107"/>
      <c r="E1613" s="112"/>
      <c r="K1613" s="233"/>
      <c r="L1613" s="19"/>
    </row>
    <row r="1614" spans="1:12" ht="31">
      <c r="A1614" s="218" t="s">
        <v>268</v>
      </c>
      <c r="B1614" s="24" t="s">
        <v>90</v>
      </c>
      <c r="C1614" s="25" t="s">
        <v>464</v>
      </c>
      <c r="D1614" s="26" t="s">
        <v>32</v>
      </c>
      <c r="E1614" s="123"/>
      <c r="K1614" s="233"/>
      <c r="L1614" s="19"/>
    </row>
    <row r="1615" spans="1:12" ht="14.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4.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5">
      <c r="B1650" s="19"/>
      <c r="C1650" s="19"/>
      <c r="D1650" s="107"/>
      <c r="E1650" s="19"/>
      <c r="F1650" s="19"/>
      <c r="G1650" s="19"/>
      <c r="H1650" s="19"/>
      <c r="I1650" s="19"/>
      <c r="J1650" s="19"/>
      <c r="K1650" s="233"/>
    </row>
    <row r="1651" spans="1:11" ht="14.5">
      <c r="B1651" s="19"/>
      <c r="C1651" s="19"/>
      <c r="D1651" s="107"/>
      <c r="E1651" s="112"/>
      <c r="F1651" s="19"/>
      <c r="G1651" s="19"/>
      <c r="H1651" s="19"/>
      <c r="I1651" s="19"/>
      <c r="J1651" s="19"/>
      <c r="K1651" s="233"/>
    </row>
    <row r="1652" spans="1:11" ht="31">
      <c r="A1652" s="218" t="s">
        <v>268</v>
      </c>
      <c r="B1652" s="24" t="s">
        <v>90</v>
      </c>
      <c r="C1652" s="25" t="s">
        <v>465</v>
      </c>
      <c r="D1652" s="26" t="s">
        <v>32</v>
      </c>
      <c r="E1652" s="123"/>
      <c r="K1652" s="233"/>
    </row>
    <row r="1653" spans="1:11" ht="14.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4.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5">
      <c r="B1688" s="19"/>
      <c r="C1688" s="19"/>
      <c r="D1688" s="107"/>
      <c r="E1688" s="19"/>
      <c r="F1688" s="19"/>
      <c r="G1688" s="19"/>
      <c r="H1688" s="19"/>
      <c r="I1688" s="19"/>
      <c r="J1688" s="19"/>
      <c r="K1688" s="233"/>
    </row>
    <row r="1689" spans="1:11" ht="14.5">
      <c r="B1689" s="19"/>
      <c r="C1689" s="19"/>
      <c r="D1689" s="107"/>
      <c r="E1689" s="112"/>
      <c r="F1689" s="19"/>
      <c r="G1689" s="19"/>
      <c r="H1689" s="19"/>
      <c r="I1689" s="19"/>
      <c r="J1689" s="19"/>
      <c r="K1689" s="233"/>
    </row>
    <row r="1690" spans="1:11" ht="31">
      <c r="A1690" s="218" t="s">
        <v>268</v>
      </c>
      <c r="B1690" s="24" t="s">
        <v>90</v>
      </c>
      <c r="C1690" s="25" t="s">
        <v>466</v>
      </c>
      <c r="D1690" s="26" t="s">
        <v>32</v>
      </c>
      <c r="E1690" s="123"/>
      <c r="K1690" s="233"/>
    </row>
    <row r="1691" spans="1:11" ht="14.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4.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17"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16" priority="681" stopIfTrue="1">
      <formula>ISBLANK(F19)</formula>
    </cfRule>
    <cfRule type="cellIs" dxfId="615" priority="682" stopIfTrue="1" operator="equal">
      <formula>"Pasa"</formula>
    </cfRule>
    <cfRule type="cellIs" dxfId="614" priority="683" stopIfTrue="1" operator="equal">
      <formula>"Falla"</formula>
    </cfRule>
    <cfRule type="cellIs" dxfId="613" priority="684" stopIfTrue="1" operator="equal">
      <formula>"N/A"</formula>
    </cfRule>
    <cfRule type="cellIs" dxfId="612" priority="685" stopIfTrue="1" operator="equal">
      <formula>"N/T"</formula>
    </cfRule>
    <cfRule type="cellIs" dxfId="611" priority="686" stopIfTrue="1" operator="equal">
      <formula>"N/D"</formula>
    </cfRule>
  </conditionalFormatting>
  <conditionalFormatting sqref="E741:E775 E779:E813 E817:E851 E855:E889 E893:E927 E931:E965 E1007:E1041 E1045:E1079 E1083:E1117 E1121:E1155 E1159:E1193 E1197:E1231 E1235:E1269 E1273:E1307">
    <cfRule type="cellIs" dxfId="610" priority="566" stopIfTrue="1" operator="equal">
      <formula>"ERR"</formula>
    </cfRule>
  </conditionalFormatting>
  <conditionalFormatting sqref="E1311:E1345 E1387:E1421 E1425:E1459 E1463:E1497 E1501:E1535 E1539:E1573 E1577:E1611">
    <cfRule type="cellIs" dxfId="609" priority="475" operator="equal">
      <formula>"ERR"</formula>
    </cfRule>
  </conditionalFormatting>
  <conditionalFormatting sqref="E1615:E1649 E1653:E1687">
    <cfRule type="cellIs" dxfId="608" priority="426" stopIfTrue="1" operator="equal">
      <formula>"ERR"</formula>
    </cfRule>
  </conditionalFormatting>
  <conditionalFormatting sqref="E969:E1004">
    <cfRule type="cellIs" dxfId="607" priority="407" stopIfTrue="1" operator="equal">
      <formula>"ERR"</formula>
    </cfRule>
  </conditionalFormatting>
  <conditionalFormatting sqref="E1349:E1383">
    <cfRule type="cellIs" dxfId="606" priority="394" operator="equal">
      <formula>"ERR"</formula>
    </cfRule>
  </conditionalFormatting>
  <conditionalFormatting sqref="D19:D53">
    <cfRule type="expression" dxfId="605" priority="350" stopIfTrue="1">
      <formula>ISBLANK(D19)</formula>
    </cfRule>
    <cfRule type="cellIs" dxfId="604" priority="351" stopIfTrue="1" operator="equal">
      <formula>"Pasa"</formula>
    </cfRule>
    <cfRule type="cellIs" dxfId="603" priority="352" stopIfTrue="1" operator="equal">
      <formula>"Falla"</formula>
    </cfRule>
    <cfRule type="cellIs" dxfId="602" priority="353" stopIfTrue="1" operator="equal">
      <formula>"N/A"</formula>
    </cfRule>
    <cfRule type="cellIs" dxfId="601" priority="354" stopIfTrue="1" operator="equal">
      <formula>"N/T"</formula>
    </cfRule>
    <cfRule type="cellIs" dxfId="600" priority="355" stopIfTrue="1" operator="equal">
      <formula>"N/D"</formula>
    </cfRule>
  </conditionalFormatting>
  <conditionalFormatting sqref="D19:D53">
    <cfRule type="cellIs" dxfId="599" priority="349" stopIfTrue="1" operator="equal">
      <formula>"-"</formula>
    </cfRule>
  </conditionalFormatting>
  <conditionalFormatting sqref="D57:D91">
    <cfRule type="expression" dxfId="598" priority="343" stopIfTrue="1">
      <formula>ISBLANK(D57)</formula>
    </cfRule>
    <cfRule type="cellIs" dxfId="597" priority="344" stopIfTrue="1" operator="equal">
      <formula>"Pasa"</formula>
    </cfRule>
    <cfRule type="cellIs" dxfId="596" priority="345" stopIfTrue="1" operator="equal">
      <formula>"Falla"</formula>
    </cfRule>
    <cfRule type="cellIs" dxfId="595" priority="346" stopIfTrue="1" operator="equal">
      <formula>"N/A"</formula>
    </cfRule>
    <cfRule type="cellIs" dxfId="594" priority="347" stopIfTrue="1" operator="equal">
      <formula>"N/T"</formula>
    </cfRule>
    <cfRule type="cellIs" dxfId="593" priority="348" stopIfTrue="1" operator="equal">
      <formula>"N/D"</formula>
    </cfRule>
  </conditionalFormatting>
  <conditionalFormatting sqref="D57:D91">
    <cfRule type="cellIs" dxfId="592" priority="342" stopIfTrue="1" operator="equal">
      <formula>"-"</formula>
    </cfRule>
  </conditionalFormatting>
  <conditionalFormatting sqref="D95:D129">
    <cfRule type="expression" dxfId="591" priority="336" stopIfTrue="1">
      <formula>ISBLANK(D95)</formula>
    </cfRule>
    <cfRule type="cellIs" dxfId="590" priority="337" stopIfTrue="1" operator="equal">
      <formula>"Pasa"</formula>
    </cfRule>
    <cfRule type="cellIs" dxfId="589" priority="338" stopIfTrue="1" operator="equal">
      <formula>"Falla"</formula>
    </cfRule>
    <cfRule type="cellIs" dxfId="588" priority="339" stopIfTrue="1" operator="equal">
      <formula>"N/A"</formula>
    </cfRule>
    <cfRule type="cellIs" dxfId="587" priority="340" stopIfTrue="1" operator="equal">
      <formula>"N/T"</formula>
    </cfRule>
    <cfRule type="cellIs" dxfId="586" priority="341" stopIfTrue="1" operator="equal">
      <formula>"N/D"</formula>
    </cfRule>
  </conditionalFormatting>
  <conditionalFormatting sqref="D95:D129">
    <cfRule type="cellIs" dxfId="585" priority="335" stopIfTrue="1" operator="equal">
      <formula>"-"</formula>
    </cfRule>
  </conditionalFormatting>
  <conditionalFormatting sqref="D133:D167">
    <cfRule type="expression" dxfId="584" priority="329" stopIfTrue="1">
      <formula>ISBLANK(D133)</formula>
    </cfRule>
    <cfRule type="cellIs" dxfId="583" priority="330" stopIfTrue="1" operator="equal">
      <formula>"Pasa"</formula>
    </cfRule>
    <cfRule type="cellIs" dxfId="582" priority="331" stopIfTrue="1" operator="equal">
      <formula>"Falla"</formula>
    </cfRule>
    <cfRule type="cellIs" dxfId="581" priority="332" stopIfTrue="1" operator="equal">
      <formula>"N/A"</formula>
    </cfRule>
    <cfRule type="cellIs" dxfId="580" priority="333" stopIfTrue="1" operator="equal">
      <formula>"N/T"</formula>
    </cfRule>
    <cfRule type="cellIs" dxfId="579" priority="334" stopIfTrue="1" operator="equal">
      <formula>"N/D"</formula>
    </cfRule>
  </conditionalFormatting>
  <conditionalFormatting sqref="D133:D167">
    <cfRule type="cellIs" dxfId="578" priority="328" stopIfTrue="1" operator="equal">
      <formula>"-"</formula>
    </cfRule>
  </conditionalFormatting>
  <conditionalFormatting sqref="D171:D205">
    <cfRule type="expression" dxfId="577" priority="315" stopIfTrue="1">
      <formula>ISBLANK(D171)</formula>
    </cfRule>
    <cfRule type="cellIs" dxfId="576" priority="316" stopIfTrue="1" operator="equal">
      <formula>"Pasa"</formula>
    </cfRule>
    <cfRule type="cellIs" dxfId="575" priority="317" stopIfTrue="1" operator="equal">
      <formula>"Falla"</formula>
    </cfRule>
    <cfRule type="cellIs" dxfId="574" priority="318" stopIfTrue="1" operator="equal">
      <formula>"N/A"</formula>
    </cfRule>
    <cfRule type="cellIs" dxfId="573" priority="319" stopIfTrue="1" operator="equal">
      <formula>"N/T"</formula>
    </cfRule>
    <cfRule type="cellIs" dxfId="572" priority="320" stopIfTrue="1" operator="equal">
      <formula>"N/D"</formula>
    </cfRule>
  </conditionalFormatting>
  <conditionalFormatting sqref="D171:D205">
    <cfRule type="cellIs" dxfId="571" priority="314" stopIfTrue="1" operator="equal">
      <formula>"-"</formula>
    </cfRule>
  </conditionalFormatting>
  <conditionalFormatting sqref="D209:D243">
    <cfRule type="expression" dxfId="570" priority="308" stopIfTrue="1">
      <formula>ISBLANK(D209)</formula>
    </cfRule>
    <cfRule type="cellIs" dxfId="569" priority="309" stopIfTrue="1" operator="equal">
      <formula>"Pasa"</formula>
    </cfRule>
    <cfRule type="cellIs" dxfId="568" priority="310" stopIfTrue="1" operator="equal">
      <formula>"Falla"</formula>
    </cfRule>
    <cfRule type="cellIs" dxfId="567" priority="311" stopIfTrue="1" operator="equal">
      <formula>"N/A"</formula>
    </cfRule>
    <cfRule type="cellIs" dxfId="566" priority="312" stopIfTrue="1" operator="equal">
      <formula>"N/T"</formula>
    </cfRule>
    <cfRule type="cellIs" dxfId="565" priority="313" stopIfTrue="1" operator="equal">
      <formula>"N/D"</formula>
    </cfRule>
  </conditionalFormatting>
  <conditionalFormatting sqref="D209:D243">
    <cfRule type="cellIs" dxfId="564" priority="307" stopIfTrue="1" operator="equal">
      <formula>"-"</formula>
    </cfRule>
  </conditionalFormatting>
  <conditionalFormatting sqref="D247:D281">
    <cfRule type="expression" dxfId="563" priority="301" stopIfTrue="1">
      <formula>ISBLANK(D247)</formula>
    </cfRule>
    <cfRule type="cellIs" dxfId="562" priority="302" stopIfTrue="1" operator="equal">
      <formula>"Pasa"</formula>
    </cfRule>
    <cfRule type="cellIs" dxfId="561" priority="303" stopIfTrue="1" operator="equal">
      <formula>"Falla"</formula>
    </cfRule>
    <cfRule type="cellIs" dxfId="560" priority="304" stopIfTrue="1" operator="equal">
      <formula>"N/A"</formula>
    </cfRule>
    <cfRule type="cellIs" dxfId="559" priority="305" stopIfTrue="1" operator="equal">
      <formula>"N/T"</formula>
    </cfRule>
    <cfRule type="cellIs" dxfId="558" priority="306" stopIfTrue="1" operator="equal">
      <formula>"N/D"</formula>
    </cfRule>
  </conditionalFormatting>
  <conditionalFormatting sqref="D247:D281">
    <cfRule type="cellIs" dxfId="557" priority="300" stopIfTrue="1" operator="equal">
      <formula>"-"</formula>
    </cfRule>
  </conditionalFormatting>
  <conditionalFormatting sqref="D285:D319">
    <cfRule type="expression" dxfId="556" priority="294" stopIfTrue="1">
      <formula>ISBLANK(D285)</formula>
    </cfRule>
    <cfRule type="cellIs" dxfId="555" priority="295" stopIfTrue="1" operator="equal">
      <formula>"Pasa"</formula>
    </cfRule>
    <cfRule type="cellIs" dxfId="554" priority="296" stopIfTrue="1" operator="equal">
      <formula>"Falla"</formula>
    </cfRule>
    <cfRule type="cellIs" dxfId="553" priority="297" stopIfTrue="1" operator="equal">
      <formula>"N/A"</formula>
    </cfRule>
    <cfRule type="cellIs" dxfId="552" priority="298" stopIfTrue="1" operator="equal">
      <formula>"N/T"</formula>
    </cfRule>
    <cfRule type="cellIs" dxfId="551" priority="299" stopIfTrue="1" operator="equal">
      <formula>"N/D"</formula>
    </cfRule>
  </conditionalFormatting>
  <conditionalFormatting sqref="D285:D319">
    <cfRule type="cellIs" dxfId="550" priority="293" stopIfTrue="1" operator="equal">
      <formula>"-"</formula>
    </cfRule>
  </conditionalFormatting>
  <conditionalFormatting sqref="D323:D357">
    <cfRule type="expression" dxfId="549" priority="287" stopIfTrue="1">
      <formula>ISBLANK(D323)</formula>
    </cfRule>
    <cfRule type="cellIs" dxfId="548" priority="288" stopIfTrue="1" operator="equal">
      <formula>"Pasa"</formula>
    </cfRule>
    <cfRule type="cellIs" dxfId="547" priority="289" stopIfTrue="1" operator="equal">
      <formula>"Falla"</formula>
    </cfRule>
    <cfRule type="cellIs" dxfId="546" priority="290" stopIfTrue="1" operator="equal">
      <formula>"N/A"</formula>
    </cfRule>
    <cfRule type="cellIs" dxfId="545" priority="291" stopIfTrue="1" operator="equal">
      <formula>"N/T"</formula>
    </cfRule>
    <cfRule type="cellIs" dxfId="544" priority="292" stopIfTrue="1" operator="equal">
      <formula>"N/D"</formula>
    </cfRule>
  </conditionalFormatting>
  <conditionalFormatting sqref="D323:D357">
    <cfRule type="cellIs" dxfId="543" priority="286" stopIfTrue="1" operator="equal">
      <formula>"-"</formula>
    </cfRule>
  </conditionalFormatting>
  <conditionalFormatting sqref="D361:D395">
    <cfRule type="expression" dxfId="542" priority="280" stopIfTrue="1">
      <formula>ISBLANK(D361)</formula>
    </cfRule>
    <cfRule type="cellIs" dxfId="541" priority="281" stopIfTrue="1" operator="equal">
      <formula>"Pasa"</formula>
    </cfRule>
    <cfRule type="cellIs" dxfId="540" priority="282" stopIfTrue="1" operator="equal">
      <formula>"Falla"</formula>
    </cfRule>
    <cfRule type="cellIs" dxfId="539" priority="283" stopIfTrue="1" operator="equal">
      <formula>"N/A"</formula>
    </cfRule>
    <cfRule type="cellIs" dxfId="538" priority="284" stopIfTrue="1" operator="equal">
      <formula>"N/T"</formula>
    </cfRule>
    <cfRule type="cellIs" dxfId="537" priority="285" stopIfTrue="1" operator="equal">
      <formula>"N/D"</formula>
    </cfRule>
  </conditionalFormatting>
  <conditionalFormatting sqref="D361:D395">
    <cfRule type="cellIs" dxfId="536" priority="279" stopIfTrue="1" operator="equal">
      <formula>"-"</formula>
    </cfRule>
  </conditionalFormatting>
  <conditionalFormatting sqref="D399:D433">
    <cfRule type="expression" dxfId="535" priority="273" stopIfTrue="1">
      <formula>ISBLANK(D399)</formula>
    </cfRule>
    <cfRule type="cellIs" dxfId="534" priority="274" stopIfTrue="1" operator="equal">
      <formula>"Pasa"</formula>
    </cfRule>
    <cfRule type="cellIs" dxfId="533" priority="275" stopIfTrue="1" operator="equal">
      <formula>"Falla"</formula>
    </cfRule>
    <cfRule type="cellIs" dxfId="532" priority="276" stopIfTrue="1" operator="equal">
      <formula>"N/A"</formula>
    </cfRule>
    <cfRule type="cellIs" dxfId="531" priority="277" stopIfTrue="1" operator="equal">
      <formula>"N/T"</formula>
    </cfRule>
    <cfRule type="cellIs" dxfId="530" priority="278" stopIfTrue="1" operator="equal">
      <formula>"N/D"</formula>
    </cfRule>
  </conditionalFormatting>
  <conditionalFormatting sqref="D399:D433">
    <cfRule type="cellIs" dxfId="529" priority="272" stopIfTrue="1" operator="equal">
      <formula>"-"</formula>
    </cfRule>
  </conditionalFormatting>
  <conditionalFormatting sqref="D437:D471">
    <cfRule type="expression" dxfId="528" priority="266" stopIfTrue="1">
      <formula>ISBLANK(D437)</formula>
    </cfRule>
    <cfRule type="cellIs" dxfId="527" priority="267" stopIfTrue="1" operator="equal">
      <formula>"Pasa"</formula>
    </cfRule>
    <cfRule type="cellIs" dxfId="526" priority="268" stopIfTrue="1" operator="equal">
      <formula>"Falla"</formula>
    </cfRule>
    <cfRule type="cellIs" dxfId="525" priority="269" stopIfTrue="1" operator="equal">
      <formula>"N/A"</formula>
    </cfRule>
    <cfRule type="cellIs" dxfId="524" priority="270" stopIfTrue="1" operator="equal">
      <formula>"N/T"</formula>
    </cfRule>
    <cfRule type="cellIs" dxfId="523" priority="271" stopIfTrue="1" operator="equal">
      <formula>"N/D"</formula>
    </cfRule>
  </conditionalFormatting>
  <conditionalFormatting sqref="D437:D471">
    <cfRule type="cellIs" dxfId="522" priority="265" stopIfTrue="1" operator="equal">
      <formula>"-"</formula>
    </cfRule>
  </conditionalFormatting>
  <conditionalFormatting sqref="D475:D509">
    <cfRule type="expression" dxfId="521" priority="259" stopIfTrue="1">
      <formula>ISBLANK(D475)</formula>
    </cfRule>
    <cfRule type="cellIs" dxfId="520" priority="260" stopIfTrue="1" operator="equal">
      <formula>"Pasa"</formula>
    </cfRule>
    <cfRule type="cellIs" dxfId="519" priority="261" stopIfTrue="1" operator="equal">
      <formula>"Falla"</formula>
    </cfRule>
    <cfRule type="cellIs" dxfId="518" priority="262" stopIfTrue="1" operator="equal">
      <formula>"N/A"</formula>
    </cfRule>
    <cfRule type="cellIs" dxfId="517" priority="263" stopIfTrue="1" operator="equal">
      <formula>"N/T"</formula>
    </cfRule>
    <cfRule type="cellIs" dxfId="516" priority="264" stopIfTrue="1" operator="equal">
      <formula>"N/D"</formula>
    </cfRule>
  </conditionalFormatting>
  <conditionalFormatting sqref="D475:D509">
    <cfRule type="cellIs" dxfId="515" priority="258" stopIfTrue="1" operator="equal">
      <formula>"-"</formula>
    </cfRule>
  </conditionalFormatting>
  <conditionalFormatting sqref="D513:D547">
    <cfRule type="expression" dxfId="514" priority="252" stopIfTrue="1">
      <formula>ISBLANK(D513)</formula>
    </cfRule>
    <cfRule type="cellIs" dxfId="513" priority="253" stopIfTrue="1" operator="equal">
      <formula>"Pasa"</formula>
    </cfRule>
    <cfRule type="cellIs" dxfId="512" priority="254" stopIfTrue="1" operator="equal">
      <formula>"Falla"</formula>
    </cfRule>
    <cfRule type="cellIs" dxfId="511" priority="255" stopIfTrue="1" operator="equal">
      <formula>"N/A"</formula>
    </cfRule>
    <cfRule type="cellIs" dxfId="510" priority="256" stopIfTrue="1" operator="equal">
      <formula>"N/T"</formula>
    </cfRule>
    <cfRule type="cellIs" dxfId="509" priority="257" stopIfTrue="1" operator="equal">
      <formula>"N/D"</formula>
    </cfRule>
  </conditionalFormatting>
  <conditionalFormatting sqref="D513:D547">
    <cfRule type="cellIs" dxfId="508" priority="251" stopIfTrue="1" operator="equal">
      <formula>"-"</formula>
    </cfRule>
  </conditionalFormatting>
  <conditionalFormatting sqref="D551:D585">
    <cfRule type="expression" dxfId="507" priority="245" stopIfTrue="1">
      <formula>ISBLANK(D551)</formula>
    </cfRule>
    <cfRule type="cellIs" dxfId="506" priority="246" stopIfTrue="1" operator="equal">
      <formula>"Pasa"</formula>
    </cfRule>
    <cfRule type="cellIs" dxfId="505" priority="247" stopIfTrue="1" operator="equal">
      <formula>"Falla"</formula>
    </cfRule>
    <cfRule type="cellIs" dxfId="504" priority="248" stopIfTrue="1" operator="equal">
      <formula>"N/A"</formula>
    </cfRule>
    <cfRule type="cellIs" dxfId="503" priority="249" stopIfTrue="1" operator="equal">
      <formula>"N/T"</formula>
    </cfRule>
    <cfRule type="cellIs" dxfId="502" priority="250" stopIfTrue="1" operator="equal">
      <formula>"N/D"</formula>
    </cfRule>
  </conditionalFormatting>
  <conditionalFormatting sqref="D551:D585">
    <cfRule type="cellIs" dxfId="501" priority="244" stopIfTrue="1" operator="equal">
      <formula>"-"</formula>
    </cfRule>
  </conditionalFormatting>
  <conditionalFormatting sqref="D589:D623">
    <cfRule type="expression" dxfId="500" priority="238" stopIfTrue="1">
      <formula>ISBLANK(D589)</formula>
    </cfRule>
    <cfRule type="cellIs" dxfId="499" priority="239" stopIfTrue="1" operator="equal">
      <formula>"Pasa"</formula>
    </cfRule>
    <cfRule type="cellIs" dxfId="498" priority="240" stopIfTrue="1" operator="equal">
      <formula>"Falla"</formula>
    </cfRule>
    <cfRule type="cellIs" dxfId="497" priority="241" stopIfTrue="1" operator="equal">
      <formula>"N/A"</formula>
    </cfRule>
    <cfRule type="cellIs" dxfId="496" priority="242" stopIfTrue="1" operator="equal">
      <formula>"N/T"</formula>
    </cfRule>
    <cfRule type="cellIs" dxfId="495" priority="243" stopIfTrue="1" operator="equal">
      <formula>"N/D"</formula>
    </cfRule>
  </conditionalFormatting>
  <conditionalFormatting sqref="D589:D623">
    <cfRule type="cellIs" dxfId="494" priority="237" stopIfTrue="1" operator="equal">
      <formula>"-"</formula>
    </cfRule>
  </conditionalFormatting>
  <conditionalFormatting sqref="D627:D661">
    <cfRule type="expression" dxfId="493" priority="231" stopIfTrue="1">
      <formula>ISBLANK(D627)</formula>
    </cfRule>
    <cfRule type="cellIs" dxfId="492" priority="232" stopIfTrue="1" operator="equal">
      <formula>"Pasa"</formula>
    </cfRule>
    <cfRule type="cellIs" dxfId="491" priority="233" stopIfTrue="1" operator="equal">
      <formula>"Falla"</formula>
    </cfRule>
    <cfRule type="cellIs" dxfId="490" priority="234" stopIfTrue="1" operator="equal">
      <formula>"N/A"</formula>
    </cfRule>
    <cfRule type="cellIs" dxfId="489" priority="235" stopIfTrue="1" operator="equal">
      <formula>"N/T"</formula>
    </cfRule>
    <cfRule type="cellIs" dxfId="488" priority="236" stopIfTrue="1" operator="equal">
      <formula>"N/D"</formula>
    </cfRule>
  </conditionalFormatting>
  <conditionalFormatting sqref="D627:D661">
    <cfRule type="cellIs" dxfId="487" priority="230" stopIfTrue="1" operator="equal">
      <formula>"-"</formula>
    </cfRule>
  </conditionalFormatting>
  <conditionalFormatting sqref="D665:D699">
    <cfRule type="expression" dxfId="486" priority="224" stopIfTrue="1">
      <formula>ISBLANK(D665)</formula>
    </cfRule>
    <cfRule type="cellIs" dxfId="485" priority="225" stopIfTrue="1" operator="equal">
      <formula>"Pasa"</formula>
    </cfRule>
    <cfRule type="cellIs" dxfId="484" priority="226" stopIfTrue="1" operator="equal">
      <formula>"Falla"</formula>
    </cfRule>
    <cfRule type="cellIs" dxfId="483" priority="227" stopIfTrue="1" operator="equal">
      <formula>"N/A"</formula>
    </cfRule>
    <cfRule type="cellIs" dxfId="482" priority="228" stopIfTrue="1" operator="equal">
      <formula>"N/T"</formula>
    </cfRule>
    <cfRule type="cellIs" dxfId="481" priority="229" stopIfTrue="1" operator="equal">
      <formula>"N/D"</formula>
    </cfRule>
  </conditionalFormatting>
  <conditionalFormatting sqref="D665:D699">
    <cfRule type="cellIs" dxfId="480" priority="223" stopIfTrue="1" operator="equal">
      <formula>"-"</formula>
    </cfRule>
  </conditionalFormatting>
  <conditionalFormatting sqref="D703:D737">
    <cfRule type="expression" dxfId="479" priority="217" stopIfTrue="1">
      <formula>ISBLANK(D703)</formula>
    </cfRule>
    <cfRule type="cellIs" dxfId="478" priority="218" stopIfTrue="1" operator="equal">
      <formula>"Pasa"</formula>
    </cfRule>
    <cfRule type="cellIs" dxfId="477" priority="219" stopIfTrue="1" operator="equal">
      <formula>"Falla"</formula>
    </cfRule>
    <cfRule type="cellIs" dxfId="476" priority="220" stopIfTrue="1" operator="equal">
      <formula>"N/A"</formula>
    </cfRule>
    <cfRule type="cellIs" dxfId="475" priority="221" stopIfTrue="1" operator="equal">
      <formula>"N/T"</formula>
    </cfRule>
    <cfRule type="cellIs" dxfId="474" priority="222" stopIfTrue="1" operator="equal">
      <formula>"N/D"</formula>
    </cfRule>
  </conditionalFormatting>
  <conditionalFormatting sqref="D703:D737">
    <cfRule type="cellIs" dxfId="473" priority="216" stopIfTrue="1" operator="equal">
      <formula>"-"</formula>
    </cfRule>
  </conditionalFormatting>
  <conditionalFormatting sqref="D741:D775">
    <cfRule type="expression" dxfId="472" priority="210" stopIfTrue="1">
      <formula>ISBLANK(D741)</formula>
    </cfRule>
    <cfRule type="cellIs" dxfId="471" priority="211" stopIfTrue="1" operator="equal">
      <formula>"Pasa"</formula>
    </cfRule>
    <cfRule type="cellIs" dxfId="470" priority="212" stopIfTrue="1" operator="equal">
      <formula>"Falla"</formula>
    </cfRule>
    <cfRule type="cellIs" dxfId="469" priority="213" stopIfTrue="1" operator="equal">
      <formula>"N/A"</formula>
    </cfRule>
    <cfRule type="cellIs" dxfId="468" priority="214" stopIfTrue="1" operator="equal">
      <formula>"N/T"</formula>
    </cfRule>
    <cfRule type="cellIs" dxfId="467" priority="215" stopIfTrue="1" operator="equal">
      <formula>"N/D"</formula>
    </cfRule>
  </conditionalFormatting>
  <conditionalFormatting sqref="D741:D775">
    <cfRule type="cellIs" dxfId="466" priority="209" stopIfTrue="1" operator="equal">
      <formula>"-"</formula>
    </cfRule>
  </conditionalFormatting>
  <conditionalFormatting sqref="D779:D813">
    <cfRule type="expression" dxfId="465" priority="203" stopIfTrue="1">
      <formula>ISBLANK(D779)</formula>
    </cfRule>
    <cfRule type="cellIs" dxfId="464" priority="204" stopIfTrue="1" operator="equal">
      <formula>"Pasa"</formula>
    </cfRule>
    <cfRule type="cellIs" dxfId="463" priority="205" stopIfTrue="1" operator="equal">
      <formula>"Falla"</formula>
    </cfRule>
    <cfRule type="cellIs" dxfId="462" priority="206" stopIfTrue="1" operator="equal">
      <formula>"N/A"</formula>
    </cfRule>
    <cfRule type="cellIs" dxfId="461" priority="207" stopIfTrue="1" operator="equal">
      <formula>"N/T"</formula>
    </cfRule>
    <cfRule type="cellIs" dxfId="460" priority="208" stopIfTrue="1" operator="equal">
      <formula>"N/D"</formula>
    </cfRule>
  </conditionalFormatting>
  <conditionalFormatting sqref="D779:D813">
    <cfRule type="cellIs" dxfId="459" priority="202" stopIfTrue="1" operator="equal">
      <formula>"-"</formula>
    </cfRule>
  </conditionalFormatting>
  <conditionalFormatting sqref="D817:D851">
    <cfRule type="expression" dxfId="458" priority="196" stopIfTrue="1">
      <formula>ISBLANK(D817)</formula>
    </cfRule>
    <cfRule type="cellIs" dxfId="457" priority="197" stopIfTrue="1" operator="equal">
      <formula>"Pasa"</formula>
    </cfRule>
    <cfRule type="cellIs" dxfId="456" priority="198" stopIfTrue="1" operator="equal">
      <formula>"Falla"</formula>
    </cfRule>
    <cfRule type="cellIs" dxfId="455" priority="199" stopIfTrue="1" operator="equal">
      <formula>"N/A"</formula>
    </cfRule>
    <cfRule type="cellIs" dxfId="454" priority="200" stopIfTrue="1" operator="equal">
      <formula>"N/T"</formula>
    </cfRule>
    <cfRule type="cellIs" dxfId="453" priority="201" stopIfTrue="1" operator="equal">
      <formula>"N/D"</formula>
    </cfRule>
  </conditionalFormatting>
  <conditionalFormatting sqref="D817:D851">
    <cfRule type="cellIs" dxfId="452" priority="195" stopIfTrue="1" operator="equal">
      <formula>"-"</formula>
    </cfRule>
  </conditionalFormatting>
  <conditionalFormatting sqref="D855:D889">
    <cfRule type="expression" dxfId="451" priority="189" stopIfTrue="1">
      <formula>ISBLANK(D855)</formula>
    </cfRule>
    <cfRule type="cellIs" dxfId="450" priority="190" stopIfTrue="1" operator="equal">
      <formula>"Pasa"</formula>
    </cfRule>
    <cfRule type="cellIs" dxfId="449" priority="191" stopIfTrue="1" operator="equal">
      <formula>"Falla"</formula>
    </cfRule>
    <cfRule type="cellIs" dxfId="448" priority="192" stopIfTrue="1" operator="equal">
      <formula>"N/A"</formula>
    </cfRule>
    <cfRule type="cellIs" dxfId="447" priority="193" stopIfTrue="1" operator="equal">
      <formula>"N/T"</formula>
    </cfRule>
    <cfRule type="cellIs" dxfId="446" priority="194" stopIfTrue="1" operator="equal">
      <formula>"N/D"</formula>
    </cfRule>
  </conditionalFormatting>
  <conditionalFormatting sqref="D855:D889">
    <cfRule type="cellIs" dxfId="445" priority="188" stopIfTrue="1" operator="equal">
      <formula>"-"</formula>
    </cfRule>
  </conditionalFormatting>
  <conditionalFormatting sqref="D893:D927">
    <cfRule type="expression" dxfId="444" priority="182" stopIfTrue="1">
      <formula>ISBLANK(D893)</formula>
    </cfRule>
    <cfRule type="cellIs" dxfId="443" priority="183" stopIfTrue="1" operator="equal">
      <formula>"Pasa"</formula>
    </cfRule>
    <cfRule type="cellIs" dxfId="442" priority="184" stopIfTrue="1" operator="equal">
      <formula>"Falla"</formula>
    </cfRule>
    <cfRule type="cellIs" dxfId="441" priority="185" stopIfTrue="1" operator="equal">
      <formula>"N/A"</formula>
    </cfRule>
    <cfRule type="cellIs" dxfId="440" priority="186" stopIfTrue="1" operator="equal">
      <formula>"N/T"</formula>
    </cfRule>
    <cfRule type="cellIs" dxfId="439" priority="187" stopIfTrue="1" operator="equal">
      <formula>"N/D"</formula>
    </cfRule>
  </conditionalFormatting>
  <conditionalFormatting sqref="D893:D927">
    <cfRule type="cellIs" dxfId="438" priority="181" stopIfTrue="1" operator="equal">
      <formula>"-"</formula>
    </cfRule>
  </conditionalFormatting>
  <conditionalFormatting sqref="D931:D965">
    <cfRule type="expression" dxfId="437" priority="175" stopIfTrue="1">
      <formula>ISBLANK(D931)</formula>
    </cfRule>
    <cfRule type="cellIs" dxfId="436" priority="176" stopIfTrue="1" operator="equal">
      <formula>"Pasa"</formula>
    </cfRule>
    <cfRule type="cellIs" dxfId="435" priority="177" stopIfTrue="1" operator="equal">
      <formula>"Falla"</formula>
    </cfRule>
    <cfRule type="cellIs" dxfId="434" priority="178" stopIfTrue="1" operator="equal">
      <formula>"N/A"</formula>
    </cfRule>
    <cfRule type="cellIs" dxfId="433" priority="179" stopIfTrue="1" operator="equal">
      <formula>"N/T"</formula>
    </cfRule>
    <cfRule type="cellIs" dxfId="432" priority="180" stopIfTrue="1" operator="equal">
      <formula>"N/D"</formula>
    </cfRule>
  </conditionalFormatting>
  <conditionalFormatting sqref="D931:D965">
    <cfRule type="cellIs" dxfId="431" priority="174" stopIfTrue="1" operator="equal">
      <formula>"-"</formula>
    </cfRule>
  </conditionalFormatting>
  <conditionalFormatting sqref="D969:D1003">
    <cfRule type="expression" dxfId="430" priority="168" stopIfTrue="1">
      <formula>ISBLANK(D969)</formula>
    </cfRule>
    <cfRule type="cellIs" dxfId="429" priority="169" stopIfTrue="1" operator="equal">
      <formula>"Pasa"</formula>
    </cfRule>
    <cfRule type="cellIs" dxfId="428" priority="170" stopIfTrue="1" operator="equal">
      <formula>"Falla"</formula>
    </cfRule>
    <cfRule type="cellIs" dxfId="427" priority="171" stopIfTrue="1" operator="equal">
      <formula>"N/A"</formula>
    </cfRule>
    <cfRule type="cellIs" dxfId="426" priority="172" stopIfTrue="1" operator="equal">
      <formula>"N/T"</formula>
    </cfRule>
    <cfRule type="cellIs" dxfId="425" priority="173" stopIfTrue="1" operator="equal">
      <formula>"N/D"</formula>
    </cfRule>
  </conditionalFormatting>
  <conditionalFormatting sqref="D969:D1003">
    <cfRule type="cellIs" dxfId="424" priority="167" stopIfTrue="1" operator="equal">
      <formula>"-"</formula>
    </cfRule>
  </conditionalFormatting>
  <conditionalFormatting sqref="D1007:D1041">
    <cfRule type="expression" dxfId="423" priority="161" stopIfTrue="1">
      <formula>ISBLANK(D1007)</formula>
    </cfRule>
    <cfRule type="cellIs" dxfId="422" priority="162" stopIfTrue="1" operator="equal">
      <formula>"Pasa"</formula>
    </cfRule>
    <cfRule type="cellIs" dxfId="421" priority="163" stopIfTrue="1" operator="equal">
      <formula>"Falla"</formula>
    </cfRule>
    <cfRule type="cellIs" dxfId="420" priority="164" stopIfTrue="1" operator="equal">
      <formula>"N/A"</formula>
    </cfRule>
    <cfRule type="cellIs" dxfId="419" priority="165" stopIfTrue="1" operator="equal">
      <formula>"N/T"</formula>
    </cfRule>
    <cfRule type="cellIs" dxfId="418" priority="166" stopIfTrue="1" operator="equal">
      <formula>"N/D"</formula>
    </cfRule>
  </conditionalFormatting>
  <conditionalFormatting sqref="D1007:D1041">
    <cfRule type="cellIs" dxfId="417" priority="160" stopIfTrue="1" operator="equal">
      <formula>"-"</formula>
    </cfRule>
  </conditionalFormatting>
  <conditionalFormatting sqref="D1045:D1079">
    <cfRule type="expression" dxfId="416" priority="154" stopIfTrue="1">
      <formula>ISBLANK(D1045)</formula>
    </cfRule>
    <cfRule type="cellIs" dxfId="415" priority="155" stopIfTrue="1" operator="equal">
      <formula>"Pasa"</formula>
    </cfRule>
    <cfRule type="cellIs" dxfId="414" priority="156" stopIfTrue="1" operator="equal">
      <formula>"Falla"</formula>
    </cfRule>
    <cfRule type="cellIs" dxfId="413" priority="157" stopIfTrue="1" operator="equal">
      <formula>"N/A"</formula>
    </cfRule>
    <cfRule type="cellIs" dxfId="412" priority="158" stopIfTrue="1" operator="equal">
      <formula>"N/T"</formula>
    </cfRule>
    <cfRule type="cellIs" dxfId="411" priority="159" stopIfTrue="1" operator="equal">
      <formula>"N/D"</formula>
    </cfRule>
  </conditionalFormatting>
  <conditionalFormatting sqref="D1045:D1079">
    <cfRule type="cellIs" dxfId="410" priority="153" stopIfTrue="1" operator="equal">
      <formula>"-"</formula>
    </cfRule>
  </conditionalFormatting>
  <conditionalFormatting sqref="D1083:D1117">
    <cfRule type="expression" dxfId="409" priority="147" stopIfTrue="1">
      <formula>ISBLANK(D1083)</formula>
    </cfRule>
    <cfRule type="cellIs" dxfId="408" priority="148" stopIfTrue="1" operator="equal">
      <formula>"Pasa"</formula>
    </cfRule>
    <cfRule type="cellIs" dxfId="407" priority="149" stopIfTrue="1" operator="equal">
      <formula>"Falla"</formula>
    </cfRule>
    <cfRule type="cellIs" dxfId="406" priority="150" stopIfTrue="1" operator="equal">
      <formula>"N/A"</formula>
    </cfRule>
    <cfRule type="cellIs" dxfId="405" priority="151" stopIfTrue="1" operator="equal">
      <formula>"N/T"</formula>
    </cfRule>
    <cfRule type="cellIs" dxfId="404" priority="152" stopIfTrue="1" operator="equal">
      <formula>"N/D"</formula>
    </cfRule>
  </conditionalFormatting>
  <conditionalFormatting sqref="D1083:D1117">
    <cfRule type="cellIs" dxfId="403" priority="146" stopIfTrue="1" operator="equal">
      <formula>"-"</formula>
    </cfRule>
  </conditionalFormatting>
  <conditionalFormatting sqref="D1121:D1155">
    <cfRule type="expression" dxfId="402" priority="140" stopIfTrue="1">
      <formula>ISBLANK(D1121)</formula>
    </cfRule>
    <cfRule type="cellIs" dxfId="401" priority="141" stopIfTrue="1" operator="equal">
      <formula>"Pasa"</formula>
    </cfRule>
    <cfRule type="cellIs" dxfId="400" priority="142" stopIfTrue="1" operator="equal">
      <formula>"Falla"</formula>
    </cfRule>
    <cfRule type="cellIs" dxfId="399" priority="143" stopIfTrue="1" operator="equal">
      <formula>"N/A"</formula>
    </cfRule>
    <cfRule type="cellIs" dxfId="398" priority="144" stopIfTrue="1" operator="equal">
      <formula>"N/T"</formula>
    </cfRule>
    <cfRule type="cellIs" dxfId="397" priority="145" stopIfTrue="1" operator="equal">
      <formula>"N/D"</formula>
    </cfRule>
  </conditionalFormatting>
  <conditionalFormatting sqref="D1121:D1155">
    <cfRule type="cellIs" dxfId="396" priority="139" stopIfTrue="1" operator="equal">
      <formula>"-"</formula>
    </cfRule>
  </conditionalFormatting>
  <conditionalFormatting sqref="D1159:D1193">
    <cfRule type="expression" dxfId="395" priority="133" stopIfTrue="1">
      <formula>ISBLANK(D1159)</formula>
    </cfRule>
    <cfRule type="cellIs" dxfId="394" priority="134" stopIfTrue="1" operator="equal">
      <formula>"Pasa"</formula>
    </cfRule>
    <cfRule type="cellIs" dxfId="393" priority="135" stopIfTrue="1" operator="equal">
      <formula>"Falla"</formula>
    </cfRule>
    <cfRule type="cellIs" dxfId="392" priority="136" stopIfTrue="1" operator="equal">
      <formula>"N/A"</formula>
    </cfRule>
    <cfRule type="cellIs" dxfId="391" priority="137" stopIfTrue="1" operator="equal">
      <formula>"N/T"</formula>
    </cfRule>
    <cfRule type="cellIs" dxfId="390" priority="138" stopIfTrue="1" operator="equal">
      <formula>"N/D"</formula>
    </cfRule>
  </conditionalFormatting>
  <conditionalFormatting sqref="D1159:D1193">
    <cfRule type="cellIs" dxfId="389" priority="132" stopIfTrue="1" operator="equal">
      <formula>"-"</formula>
    </cfRule>
  </conditionalFormatting>
  <conditionalFormatting sqref="D1197:D1231">
    <cfRule type="expression" dxfId="388" priority="126" stopIfTrue="1">
      <formula>ISBLANK(D1197)</formula>
    </cfRule>
    <cfRule type="cellIs" dxfId="387" priority="127" stopIfTrue="1" operator="equal">
      <formula>"Pasa"</formula>
    </cfRule>
    <cfRule type="cellIs" dxfId="386" priority="128" stopIfTrue="1" operator="equal">
      <formula>"Falla"</formula>
    </cfRule>
    <cfRule type="cellIs" dxfId="385" priority="129" stopIfTrue="1" operator="equal">
      <formula>"N/A"</formula>
    </cfRule>
    <cfRule type="cellIs" dxfId="384" priority="130" stopIfTrue="1" operator="equal">
      <formula>"N/T"</formula>
    </cfRule>
    <cfRule type="cellIs" dxfId="383" priority="131" stopIfTrue="1" operator="equal">
      <formula>"N/D"</formula>
    </cfRule>
  </conditionalFormatting>
  <conditionalFormatting sqref="D1197:D1231">
    <cfRule type="cellIs" dxfId="382" priority="125" stopIfTrue="1" operator="equal">
      <formula>"-"</formula>
    </cfRule>
  </conditionalFormatting>
  <conditionalFormatting sqref="D1235:D1269">
    <cfRule type="expression" dxfId="381" priority="119" stopIfTrue="1">
      <formula>ISBLANK(D1235)</formula>
    </cfRule>
    <cfRule type="cellIs" dxfId="380" priority="120" stopIfTrue="1" operator="equal">
      <formula>"Pasa"</formula>
    </cfRule>
    <cfRule type="cellIs" dxfId="379" priority="121" stopIfTrue="1" operator="equal">
      <formula>"Falla"</formula>
    </cfRule>
    <cfRule type="cellIs" dxfId="378" priority="122" stopIfTrue="1" operator="equal">
      <formula>"N/A"</formula>
    </cfRule>
    <cfRule type="cellIs" dxfId="377" priority="123" stopIfTrue="1" operator="equal">
      <formula>"N/T"</formula>
    </cfRule>
    <cfRule type="cellIs" dxfId="376" priority="124" stopIfTrue="1" operator="equal">
      <formula>"N/D"</formula>
    </cfRule>
  </conditionalFormatting>
  <conditionalFormatting sqref="D1235:D1269">
    <cfRule type="cellIs" dxfId="375" priority="118" stopIfTrue="1" operator="equal">
      <formula>"-"</formula>
    </cfRule>
  </conditionalFormatting>
  <conditionalFormatting sqref="D1273:D1307">
    <cfRule type="expression" dxfId="374" priority="112" stopIfTrue="1">
      <formula>ISBLANK(D1273)</formula>
    </cfRule>
    <cfRule type="cellIs" dxfId="373" priority="113" stopIfTrue="1" operator="equal">
      <formula>"Pasa"</formula>
    </cfRule>
    <cfRule type="cellIs" dxfId="372" priority="114" stopIfTrue="1" operator="equal">
      <formula>"Falla"</formula>
    </cfRule>
    <cfRule type="cellIs" dxfId="371" priority="115" stopIfTrue="1" operator="equal">
      <formula>"N/A"</formula>
    </cfRule>
    <cfRule type="cellIs" dxfId="370" priority="116" stopIfTrue="1" operator="equal">
      <formula>"N/T"</formula>
    </cfRule>
    <cfRule type="cellIs" dxfId="369" priority="117" stopIfTrue="1" operator="equal">
      <formula>"N/D"</formula>
    </cfRule>
  </conditionalFormatting>
  <conditionalFormatting sqref="D1273:D1307">
    <cfRule type="cellIs" dxfId="368" priority="111" stopIfTrue="1" operator="equal">
      <formula>"-"</formula>
    </cfRule>
  </conditionalFormatting>
  <conditionalFormatting sqref="D1311:D1345">
    <cfRule type="expression" dxfId="367" priority="105" stopIfTrue="1">
      <formula>ISBLANK(D1311)</formula>
    </cfRule>
    <cfRule type="cellIs" dxfId="366" priority="106" stopIfTrue="1" operator="equal">
      <formula>"Pasa"</formula>
    </cfRule>
    <cfRule type="cellIs" dxfId="365" priority="107" stopIfTrue="1" operator="equal">
      <formula>"Falla"</formula>
    </cfRule>
    <cfRule type="cellIs" dxfId="364" priority="108" stopIfTrue="1" operator="equal">
      <formula>"N/A"</formula>
    </cfRule>
    <cfRule type="cellIs" dxfId="363" priority="109" stopIfTrue="1" operator="equal">
      <formula>"N/T"</formula>
    </cfRule>
    <cfRule type="cellIs" dxfId="362" priority="110" stopIfTrue="1" operator="equal">
      <formula>"N/D"</formula>
    </cfRule>
  </conditionalFormatting>
  <conditionalFormatting sqref="D1311:D1345">
    <cfRule type="cellIs" dxfId="361" priority="104" stopIfTrue="1" operator="equal">
      <formula>"-"</formula>
    </cfRule>
  </conditionalFormatting>
  <conditionalFormatting sqref="D1349:D1383">
    <cfRule type="expression" dxfId="360" priority="98" stopIfTrue="1">
      <formula>ISBLANK(D1349)</formula>
    </cfRule>
    <cfRule type="cellIs" dxfId="359" priority="99" stopIfTrue="1" operator="equal">
      <formula>"Pasa"</formula>
    </cfRule>
    <cfRule type="cellIs" dxfId="358" priority="100" stopIfTrue="1" operator="equal">
      <formula>"Falla"</formula>
    </cfRule>
    <cfRule type="cellIs" dxfId="357" priority="101" stopIfTrue="1" operator="equal">
      <formula>"N/A"</formula>
    </cfRule>
    <cfRule type="cellIs" dxfId="356" priority="102" stopIfTrue="1" operator="equal">
      <formula>"N/T"</formula>
    </cfRule>
    <cfRule type="cellIs" dxfId="355" priority="103" stopIfTrue="1" operator="equal">
      <formula>"N/D"</formula>
    </cfRule>
  </conditionalFormatting>
  <conditionalFormatting sqref="D1349:D1383">
    <cfRule type="cellIs" dxfId="354" priority="97" stopIfTrue="1" operator="equal">
      <formula>"-"</formula>
    </cfRule>
  </conditionalFormatting>
  <conditionalFormatting sqref="D1387:D1421">
    <cfRule type="expression" dxfId="353" priority="91" stopIfTrue="1">
      <formula>ISBLANK(D1387)</formula>
    </cfRule>
    <cfRule type="cellIs" dxfId="352" priority="92" stopIfTrue="1" operator="equal">
      <formula>"Pasa"</formula>
    </cfRule>
    <cfRule type="cellIs" dxfId="351" priority="93" stopIfTrue="1" operator="equal">
      <formula>"Falla"</formula>
    </cfRule>
    <cfRule type="cellIs" dxfId="350" priority="94" stopIfTrue="1" operator="equal">
      <formula>"N/A"</formula>
    </cfRule>
    <cfRule type="cellIs" dxfId="349" priority="95" stopIfTrue="1" operator="equal">
      <formula>"N/T"</formula>
    </cfRule>
    <cfRule type="cellIs" dxfId="348" priority="96" stopIfTrue="1" operator="equal">
      <formula>"N/D"</formula>
    </cfRule>
  </conditionalFormatting>
  <conditionalFormatting sqref="D1387:D1421">
    <cfRule type="cellIs" dxfId="347" priority="90" stopIfTrue="1" operator="equal">
      <formula>"-"</formula>
    </cfRule>
  </conditionalFormatting>
  <conditionalFormatting sqref="D1425:D1459">
    <cfRule type="expression" dxfId="346" priority="84" stopIfTrue="1">
      <formula>ISBLANK(D1425)</formula>
    </cfRule>
    <cfRule type="cellIs" dxfId="345" priority="85" stopIfTrue="1" operator="equal">
      <formula>"Pasa"</formula>
    </cfRule>
    <cfRule type="cellIs" dxfId="344" priority="86" stopIfTrue="1" operator="equal">
      <formula>"Falla"</formula>
    </cfRule>
    <cfRule type="cellIs" dxfId="343" priority="87" stopIfTrue="1" operator="equal">
      <formula>"N/A"</formula>
    </cfRule>
    <cfRule type="cellIs" dxfId="342" priority="88" stopIfTrue="1" operator="equal">
      <formula>"N/T"</formula>
    </cfRule>
    <cfRule type="cellIs" dxfId="341" priority="89" stopIfTrue="1" operator="equal">
      <formula>"N/D"</formula>
    </cfRule>
  </conditionalFormatting>
  <conditionalFormatting sqref="D1425:D1459">
    <cfRule type="cellIs" dxfId="340" priority="83" stopIfTrue="1" operator="equal">
      <formula>"-"</formula>
    </cfRule>
  </conditionalFormatting>
  <conditionalFormatting sqref="D1463:D1497">
    <cfRule type="expression" dxfId="339" priority="77" stopIfTrue="1">
      <formula>ISBLANK(D1463)</formula>
    </cfRule>
    <cfRule type="cellIs" dxfId="338" priority="78" stopIfTrue="1" operator="equal">
      <formula>"Pasa"</formula>
    </cfRule>
    <cfRule type="cellIs" dxfId="337" priority="79" stopIfTrue="1" operator="equal">
      <formula>"Falla"</formula>
    </cfRule>
    <cfRule type="cellIs" dxfId="336" priority="80" stopIfTrue="1" operator="equal">
      <formula>"N/A"</formula>
    </cfRule>
    <cfRule type="cellIs" dxfId="335" priority="81" stopIfTrue="1" operator="equal">
      <formula>"N/T"</formula>
    </cfRule>
    <cfRule type="cellIs" dxfId="334" priority="82" stopIfTrue="1" operator="equal">
      <formula>"N/D"</formula>
    </cfRule>
  </conditionalFormatting>
  <conditionalFormatting sqref="D1463:D1497">
    <cfRule type="cellIs" dxfId="333" priority="76" stopIfTrue="1" operator="equal">
      <formula>"-"</formula>
    </cfRule>
  </conditionalFormatting>
  <conditionalFormatting sqref="D1501:D1535">
    <cfRule type="expression" dxfId="332" priority="70" stopIfTrue="1">
      <formula>ISBLANK(D1501)</formula>
    </cfRule>
    <cfRule type="cellIs" dxfId="331" priority="71" stopIfTrue="1" operator="equal">
      <formula>"Pasa"</formula>
    </cfRule>
    <cfRule type="cellIs" dxfId="330" priority="72" stopIfTrue="1" operator="equal">
      <formula>"Falla"</formula>
    </cfRule>
    <cfRule type="cellIs" dxfId="329" priority="73" stopIfTrue="1" operator="equal">
      <formula>"N/A"</formula>
    </cfRule>
    <cfRule type="cellIs" dxfId="328" priority="74" stopIfTrue="1" operator="equal">
      <formula>"N/T"</formula>
    </cfRule>
    <cfRule type="cellIs" dxfId="327" priority="75" stopIfTrue="1" operator="equal">
      <formula>"N/D"</formula>
    </cfRule>
  </conditionalFormatting>
  <conditionalFormatting sqref="D1501:D1535">
    <cfRule type="cellIs" dxfId="326" priority="69" stopIfTrue="1" operator="equal">
      <formula>"-"</formula>
    </cfRule>
  </conditionalFormatting>
  <conditionalFormatting sqref="D1539:D1573">
    <cfRule type="expression" dxfId="325" priority="63" stopIfTrue="1">
      <formula>ISBLANK(D1539)</formula>
    </cfRule>
    <cfRule type="cellIs" dxfId="324" priority="64" stopIfTrue="1" operator="equal">
      <formula>"Pasa"</formula>
    </cfRule>
    <cfRule type="cellIs" dxfId="323" priority="65" stopIfTrue="1" operator="equal">
      <formula>"Falla"</formula>
    </cfRule>
    <cfRule type="cellIs" dxfId="322" priority="66" stopIfTrue="1" operator="equal">
      <formula>"N/A"</formula>
    </cfRule>
    <cfRule type="cellIs" dxfId="321" priority="67" stopIfTrue="1" operator="equal">
      <formula>"N/T"</formula>
    </cfRule>
    <cfRule type="cellIs" dxfId="320" priority="68" stopIfTrue="1" operator="equal">
      <formula>"N/D"</formula>
    </cfRule>
  </conditionalFormatting>
  <conditionalFormatting sqref="D1539:D1573">
    <cfRule type="cellIs" dxfId="319" priority="62" stopIfTrue="1" operator="equal">
      <formula>"-"</formula>
    </cfRule>
  </conditionalFormatting>
  <conditionalFormatting sqref="D1577:D1611">
    <cfRule type="expression" dxfId="318" priority="56" stopIfTrue="1">
      <formula>ISBLANK(D1577)</formula>
    </cfRule>
    <cfRule type="cellIs" dxfId="317" priority="57" stopIfTrue="1" operator="equal">
      <formula>"Pasa"</formula>
    </cfRule>
    <cfRule type="cellIs" dxfId="316" priority="58" stopIfTrue="1" operator="equal">
      <formula>"Falla"</formula>
    </cfRule>
    <cfRule type="cellIs" dxfId="315" priority="59" stopIfTrue="1" operator="equal">
      <formula>"N/A"</formula>
    </cfRule>
    <cfRule type="cellIs" dxfId="314" priority="60" stopIfTrue="1" operator="equal">
      <formula>"N/T"</formula>
    </cfRule>
    <cfRule type="cellIs" dxfId="313" priority="61" stopIfTrue="1" operator="equal">
      <formula>"N/D"</formula>
    </cfRule>
  </conditionalFormatting>
  <conditionalFormatting sqref="D1577:D1611">
    <cfRule type="cellIs" dxfId="312" priority="55" stopIfTrue="1" operator="equal">
      <formula>"-"</formula>
    </cfRule>
  </conditionalFormatting>
  <conditionalFormatting sqref="D1615:D1649">
    <cfRule type="expression" dxfId="311" priority="49" stopIfTrue="1">
      <formula>ISBLANK(D1615)</formula>
    </cfRule>
    <cfRule type="cellIs" dxfId="310" priority="50" stopIfTrue="1" operator="equal">
      <formula>"Pasa"</formula>
    </cfRule>
    <cfRule type="cellIs" dxfId="309" priority="51" stopIfTrue="1" operator="equal">
      <formula>"Falla"</formula>
    </cfRule>
    <cfRule type="cellIs" dxfId="308" priority="52" stopIfTrue="1" operator="equal">
      <formula>"N/A"</formula>
    </cfRule>
    <cfRule type="cellIs" dxfId="307" priority="53" stopIfTrue="1" operator="equal">
      <formula>"N/T"</formula>
    </cfRule>
    <cfRule type="cellIs" dxfId="306" priority="54" stopIfTrue="1" operator="equal">
      <formula>"N/D"</formula>
    </cfRule>
  </conditionalFormatting>
  <conditionalFormatting sqref="D1615:D1649">
    <cfRule type="cellIs" dxfId="305" priority="48" stopIfTrue="1" operator="equal">
      <formula>"-"</formula>
    </cfRule>
  </conditionalFormatting>
  <conditionalFormatting sqref="D1653:D1687">
    <cfRule type="expression" dxfId="304" priority="42" stopIfTrue="1">
      <formula>ISBLANK(D1653)</formula>
    </cfRule>
    <cfRule type="cellIs" dxfId="303" priority="43" stopIfTrue="1" operator="equal">
      <formula>"Pasa"</formula>
    </cfRule>
    <cfRule type="cellIs" dxfId="302" priority="44" stopIfTrue="1" operator="equal">
      <formula>"Falla"</formula>
    </cfRule>
    <cfRule type="cellIs" dxfId="301" priority="45" stopIfTrue="1" operator="equal">
      <formula>"N/A"</formula>
    </cfRule>
    <cfRule type="cellIs" dxfId="300" priority="46" stopIfTrue="1" operator="equal">
      <formula>"N/T"</formula>
    </cfRule>
    <cfRule type="cellIs" dxfId="299" priority="47" stopIfTrue="1" operator="equal">
      <formula>"N/D"</formula>
    </cfRule>
  </conditionalFormatting>
  <conditionalFormatting sqref="D1653:D1687">
    <cfRule type="cellIs" dxfId="298" priority="41" stopIfTrue="1" operator="equal">
      <formula>"-"</formula>
    </cfRule>
  </conditionalFormatting>
  <conditionalFormatting sqref="E1691:E1725">
    <cfRule type="cellIs" dxfId="297" priority="26" stopIfTrue="1" operator="equal">
      <formula>"ERR"</formula>
    </cfRule>
  </conditionalFormatting>
  <conditionalFormatting sqref="D1691:D1725">
    <cfRule type="expression" dxfId="296" priority="14" stopIfTrue="1">
      <formula>ISBLANK(D1691)</formula>
    </cfRule>
    <cfRule type="cellIs" dxfId="295" priority="15" stopIfTrue="1" operator="equal">
      <formula>"Pasa"</formula>
    </cfRule>
    <cfRule type="cellIs" dxfId="294" priority="16" stopIfTrue="1" operator="equal">
      <formula>"Falla"</formula>
    </cfRule>
    <cfRule type="cellIs" dxfId="293" priority="17" stopIfTrue="1" operator="equal">
      <formula>"N/A"</formula>
    </cfRule>
    <cfRule type="cellIs" dxfId="292" priority="18" stopIfTrue="1" operator="equal">
      <formula>"N/T"</formula>
    </cfRule>
    <cfRule type="cellIs" dxfId="291" priority="19" stopIfTrue="1" operator="equal">
      <formula>"N/D"</formula>
    </cfRule>
  </conditionalFormatting>
  <conditionalFormatting sqref="D1691:D1725">
    <cfRule type="cellIs" dxfId="290" priority="13" stopIfTrue="1" operator="equal">
      <formula>"-"</formula>
    </cfRule>
  </conditionalFormatting>
  <conditionalFormatting sqref="K23">
    <cfRule type="expression" dxfId="289" priority="7" stopIfTrue="1">
      <formula>ISBLANK(K23)</formula>
    </cfRule>
    <cfRule type="cellIs" dxfId="288" priority="8" stopIfTrue="1" operator="equal">
      <formula>"Pasa"</formula>
    </cfRule>
    <cfRule type="cellIs" dxfId="287" priority="9" stopIfTrue="1" operator="equal">
      <formula>"Falla"</formula>
    </cfRule>
    <cfRule type="cellIs" dxfId="286" priority="10" stopIfTrue="1" operator="equal">
      <formula>"N/A"</formula>
    </cfRule>
    <cfRule type="cellIs" dxfId="285" priority="11" stopIfTrue="1" operator="equal">
      <formula>"N/T"</formula>
    </cfRule>
    <cfRule type="cellIs" dxfId="284" priority="12" stopIfTrue="1" operator="equal">
      <formula>"N/D"</formula>
    </cfRule>
  </conditionalFormatting>
  <conditionalFormatting sqref="K24">
    <cfRule type="expression" dxfId="283" priority="1" stopIfTrue="1">
      <formula>ISBLANK(K24)</formula>
    </cfRule>
    <cfRule type="cellIs" dxfId="282" priority="2" stopIfTrue="1" operator="equal">
      <formula>"Pasa"</formula>
    </cfRule>
    <cfRule type="cellIs" dxfId="281" priority="3" stopIfTrue="1" operator="equal">
      <formula>"Falla"</formula>
    </cfRule>
    <cfRule type="cellIs" dxfId="280" priority="4" stopIfTrue="1" operator="equal">
      <formula>"N/A"</formula>
    </cfRule>
    <cfRule type="cellIs" dxfId="279" priority="5" stopIfTrue="1" operator="equal">
      <formula>"N/T"</formula>
    </cfRule>
    <cfRule type="cellIs" dxfId="27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Madrid Digital</cp:lastModifiedBy>
  <cp:revision>109</cp:revision>
  <cp:lastPrinted>2020-09-14T10:56:43Z</cp:lastPrinted>
  <dcterms:created xsi:type="dcterms:W3CDTF">2020-03-26T13:14:48Z</dcterms:created>
  <dcterms:modified xsi:type="dcterms:W3CDTF">2023-09-19T09:06:41Z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ies>
</file>